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195"/>
  </bookViews>
  <sheets>
    <sheet name="세입명세서" sheetId="2" r:id="rId1"/>
    <sheet name="세출명세서" sheetId="3" r:id="rId2"/>
  </sheets>
  <definedNames>
    <definedName name="_xlnm.Print_Area" localSheetId="0">세입명세서!$A$1:$S$114</definedName>
    <definedName name="_xlnm.Print_Area" localSheetId="1">세출명세서!$A$1:$Q$395</definedName>
    <definedName name="_xlnm.Print_Titles" localSheetId="0">세입명세서!$4:$5</definedName>
    <definedName name="_xlnm.Print_Titles" localSheetId="1">세출명세서!$2:$3</definedName>
  </definedNames>
  <calcPr calcId="145621"/>
</workbook>
</file>

<file path=xl/calcChain.xml><?xml version="1.0" encoding="utf-8"?>
<calcChain xmlns="http://schemas.openxmlformats.org/spreadsheetml/2006/main">
  <c r="I403" i="3" l="1"/>
  <c r="P395" i="3"/>
  <c r="E395" i="3" s="1"/>
  <c r="P394" i="3"/>
  <c r="E394" i="3" s="1"/>
  <c r="G394" i="3" s="1"/>
  <c r="H394" i="3" s="1"/>
  <c r="P393" i="3"/>
  <c r="E393" i="3" s="1"/>
  <c r="P392" i="3"/>
  <c r="E392" i="3"/>
  <c r="G392" i="3" s="1"/>
  <c r="H392" i="3" s="1"/>
  <c r="P391" i="3"/>
  <c r="E391" i="3" s="1"/>
  <c r="P390" i="3"/>
  <c r="P389" i="3" s="1"/>
  <c r="E389" i="3" s="1"/>
  <c r="G389" i="3" s="1"/>
  <c r="H389" i="3" s="1"/>
  <c r="P388" i="3"/>
  <c r="P387" i="3"/>
  <c r="P386" i="3"/>
  <c r="F384" i="3"/>
  <c r="D384" i="3"/>
  <c r="P383" i="3"/>
  <c r="E383" i="3" s="1"/>
  <c r="G383" i="3" s="1"/>
  <c r="P382" i="3"/>
  <c r="E382" i="3" s="1"/>
  <c r="G382" i="3" s="1"/>
  <c r="P381" i="3"/>
  <c r="E381" i="3" s="1"/>
  <c r="G381" i="3" s="1"/>
  <c r="P380" i="3"/>
  <c r="E380" i="3" s="1"/>
  <c r="G380" i="3" s="1"/>
  <c r="P379" i="3"/>
  <c r="E379" i="3" s="1"/>
  <c r="G379" i="3" s="1"/>
  <c r="F379" i="3"/>
  <c r="P378" i="3"/>
  <c r="E378" i="3" s="1"/>
  <c r="G378" i="3" s="1"/>
  <c r="P377" i="3"/>
  <c r="E377" i="3" s="1"/>
  <c r="G377" i="3" s="1"/>
  <c r="P376" i="3"/>
  <c r="E376" i="3" s="1"/>
  <c r="G376" i="3" s="1"/>
  <c r="P375" i="3"/>
  <c r="E375" i="3" s="1"/>
  <c r="G375" i="3" s="1"/>
  <c r="P374" i="3"/>
  <c r="E374" i="3" s="1"/>
  <c r="G374" i="3" s="1"/>
  <c r="P373" i="3"/>
  <c r="E373" i="3" s="1"/>
  <c r="G373" i="3" s="1"/>
  <c r="P372" i="3"/>
  <c r="E372" i="3" s="1"/>
  <c r="G372" i="3" s="1"/>
  <c r="P371" i="3"/>
  <c r="E371" i="3" s="1"/>
  <c r="G371" i="3" s="1"/>
  <c r="P370" i="3"/>
  <c r="E370" i="3" s="1"/>
  <c r="G370" i="3" s="1"/>
  <c r="P369" i="3"/>
  <c r="E369" i="3" s="1"/>
  <c r="G369" i="3" s="1"/>
  <c r="P368" i="3"/>
  <c r="E368" i="3" s="1"/>
  <c r="G368" i="3" s="1"/>
  <c r="P367" i="3"/>
  <c r="E367" i="3" s="1"/>
  <c r="G367" i="3" s="1"/>
  <c r="P366" i="3"/>
  <c r="E366" i="3" s="1"/>
  <c r="G366" i="3" s="1"/>
  <c r="P365" i="3"/>
  <c r="E365" i="3" s="1"/>
  <c r="G365" i="3" s="1"/>
  <c r="P364" i="3"/>
  <c r="E364" i="3" s="1"/>
  <c r="G364" i="3" s="1"/>
  <c r="H364" i="3" s="1"/>
  <c r="P363" i="3"/>
  <c r="E363" i="3" s="1"/>
  <c r="G363" i="3" s="1"/>
  <c r="H363" i="3"/>
  <c r="P362" i="3"/>
  <c r="E362" i="3" s="1"/>
  <c r="G362" i="3" s="1"/>
  <c r="H362" i="3" s="1"/>
  <c r="P361" i="3"/>
  <c r="E361" i="3" s="1"/>
  <c r="G361" i="3" s="1"/>
  <c r="H361" i="3" s="1"/>
  <c r="P360" i="3"/>
  <c r="E360" i="3" s="1"/>
  <c r="G360" i="3" s="1"/>
  <c r="H360" i="3" s="1"/>
  <c r="P359" i="3"/>
  <c r="E359" i="3" s="1"/>
  <c r="G359" i="3" s="1"/>
  <c r="H359" i="3" s="1"/>
  <c r="P358" i="3"/>
  <c r="E358" i="3" s="1"/>
  <c r="G358" i="3" s="1"/>
  <c r="H358" i="3"/>
  <c r="P357" i="3"/>
  <c r="E357" i="3" s="1"/>
  <c r="G357" i="3" s="1"/>
  <c r="H357" i="3" s="1"/>
  <c r="P356" i="3"/>
  <c r="E356" i="3" s="1"/>
  <c r="G356" i="3" s="1"/>
  <c r="H356" i="3" s="1"/>
  <c r="P355" i="3"/>
  <c r="E355" i="3" s="1"/>
  <c r="G355" i="3" s="1"/>
  <c r="H355" i="3" s="1"/>
  <c r="P354" i="3"/>
  <c r="E354" i="3" s="1"/>
  <c r="G354" i="3" s="1"/>
  <c r="H354" i="3" s="1"/>
  <c r="P353" i="3"/>
  <c r="E353" i="3" s="1"/>
  <c r="G353" i="3" s="1"/>
  <c r="P352" i="3"/>
  <c r="E352" i="3" s="1"/>
  <c r="G352" i="3" s="1"/>
  <c r="H352" i="3" s="1"/>
  <c r="P351" i="3"/>
  <c r="E351" i="3" s="1"/>
  <c r="G351" i="3" s="1"/>
  <c r="H351" i="3" s="1"/>
  <c r="P350" i="3"/>
  <c r="G350" i="3"/>
  <c r="P349" i="3"/>
  <c r="E349" i="3" s="1"/>
  <c r="G349" i="3" s="1"/>
  <c r="H349" i="3" s="1"/>
  <c r="P348" i="3"/>
  <c r="E348" i="3" s="1"/>
  <c r="G348" i="3" s="1"/>
  <c r="H348" i="3" s="1"/>
  <c r="P347" i="3"/>
  <c r="E347" i="3" s="1"/>
  <c r="G347" i="3" s="1"/>
  <c r="H347" i="3" s="1"/>
  <c r="P346" i="3"/>
  <c r="E346" i="3" s="1"/>
  <c r="G346" i="3" s="1"/>
  <c r="H346" i="3" s="1"/>
  <c r="P345" i="3"/>
  <c r="E345" i="3"/>
  <c r="G345" i="3" s="1"/>
  <c r="H345" i="3" s="1"/>
  <c r="P344" i="3"/>
  <c r="E344" i="3" s="1"/>
  <c r="G344" i="3" s="1"/>
  <c r="H344" i="3" s="1"/>
  <c r="P343" i="3"/>
  <c r="E343" i="3"/>
  <c r="G343" i="3" s="1"/>
  <c r="H343" i="3" s="1"/>
  <c r="P342" i="3"/>
  <c r="E342" i="3" s="1"/>
  <c r="G342" i="3" s="1"/>
  <c r="H342" i="3" s="1"/>
  <c r="P341" i="3"/>
  <c r="E341" i="3" s="1"/>
  <c r="G341" i="3" s="1"/>
  <c r="H341" i="3" s="1"/>
  <c r="P340" i="3"/>
  <c r="E340" i="3" s="1"/>
  <c r="G340" i="3" s="1"/>
  <c r="H340" i="3" s="1"/>
  <c r="P339" i="3"/>
  <c r="F339" i="3"/>
  <c r="F306" i="3" s="1"/>
  <c r="P338" i="3"/>
  <c r="E338" i="3" s="1"/>
  <c r="G338" i="3" s="1"/>
  <c r="H338" i="3" s="1"/>
  <c r="P337" i="3"/>
  <c r="E337" i="3"/>
  <c r="G337" i="3" s="1"/>
  <c r="H337" i="3" s="1"/>
  <c r="P336" i="3"/>
  <c r="E336" i="3" s="1"/>
  <c r="G336" i="3" s="1"/>
  <c r="H336" i="3" s="1"/>
  <c r="P335" i="3"/>
  <c r="E335" i="3" s="1"/>
  <c r="G335" i="3" s="1"/>
  <c r="H335" i="3" s="1"/>
  <c r="P334" i="3"/>
  <c r="E334" i="3"/>
  <c r="G334" i="3" s="1"/>
  <c r="H334" i="3" s="1"/>
  <c r="P333" i="3"/>
  <c r="E333" i="3" s="1"/>
  <c r="G333" i="3" s="1"/>
  <c r="H333" i="3" s="1"/>
  <c r="P332" i="3"/>
  <c r="E332" i="3"/>
  <c r="G332" i="3" s="1"/>
  <c r="H332" i="3" s="1"/>
  <c r="P331" i="3"/>
  <c r="E331" i="3" s="1"/>
  <c r="G331" i="3" s="1"/>
  <c r="H331" i="3" s="1"/>
  <c r="P330" i="3"/>
  <c r="E330" i="3" s="1"/>
  <c r="G330" i="3" s="1"/>
  <c r="H330" i="3" s="1"/>
  <c r="P329" i="3"/>
  <c r="E329" i="3" s="1"/>
  <c r="G329" i="3" s="1"/>
  <c r="H329" i="3" s="1"/>
  <c r="P328" i="3"/>
  <c r="E328" i="3" s="1"/>
  <c r="G328" i="3" s="1"/>
  <c r="H328" i="3" s="1"/>
  <c r="P327" i="3"/>
  <c r="E327" i="3" s="1"/>
  <c r="G327" i="3" s="1"/>
  <c r="H327" i="3" s="1"/>
  <c r="P326" i="3"/>
  <c r="E326" i="3" s="1"/>
  <c r="G326" i="3" s="1"/>
  <c r="H326" i="3" s="1"/>
  <c r="P325" i="3"/>
  <c r="E325" i="3" s="1"/>
  <c r="G325" i="3" s="1"/>
  <c r="H325" i="3" s="1"/>
  <c r="P324" i="3"/>
  <c r="E324" i="3" s="1"/>
  <c r="G324" i="3" s="1"/>
  <c r="H324" i="3" s="1"/>
  <c r="P323" i="3"/>
  <c r="E323" i="3"/>
  <c r="G323" i="3" s="1"/>
  <c r="H323" i="3" s="1"/>
  <c r="P322" i="3"/>
  <c r="E322" i="3" s="1"/>
  <c r="G322" i="3" s="1"/>
  <c r="H322" i="3" s="1"/>
  <c r="P321" i="3"/>
  <c r="E321" i="3" s="1"/>
  <c r="G321" i="3" s="1"/>
  <c r="H321" i="3" s="1"/>
  <c r="P320" i="3"/>
  <c r="E320" i="3" s="1"/>
  <c r="G320" i="3" s="1"/>
  <c r="H320" i="3" s="1"/>
  <c r="P319" i="3"/>
  <c r="E319" i="3" s="1"/>
  <c r="G319" i="3" s="1"/>
  <c r="H319" i="3" s="1"/>
  <c r="P318" i="3"/>
  <c r="E318" i="3" s="1"/>
  <c r="G318" i="3" s="1"/>
  <c r="H318" i="3" s="1"/>
  <c r="P317" i="3"/>
  <c r="E317" i="3" s="1"/>
  <c r="G317" i="3" s="1"/>
  <c r="H317" i="3" s="1"/>
  <c r="P316" i="3"/>
  <c r="E316" i="3"/>
  <c r="G316" i="3" s="1"/>
  <c r="H316" i="3" s="1"/>
  <c r="P315" i="3"/>
  <c r="E315" i="3" s="1"/>
  <c r="G315" i="3" s="1"/>
  <c r="H315" i="3" s="1"/>
  <c r="J315" i="3"/>
  <c r="P314" i="3"/>
  <c r="E314" i="3" s="1"/>
  <c r="G314" i="3" s="1"/>
  <c r="H314" i="3" s="1"/>
  <c r="P313" i="3"/>
  <c r="E313" i="3" s="1"/>
  <c r="G313" i="3" s="1"/>
  <c r="H313" i="3" s="1"/>
  <c r="P312" i="3"/>
  <c r="E312" i="3" s="1"/>
  <c r="G312" i="3" s="1"/>
  <c r="H312" i="3" s="1"/>
  <c r="P311" i="3"/>
  <c r="E311" i="3"/>
  <c r="G311" i="3" s="1"/>
  <c r="H311" i="3" s="1"/>
  <c r="P310" i="3"/>
  <c r="E310" i="3" s="1"/>
  <c r="G310" i="3" s="1"/>
  <c r="H310" i="3" s="1"/>
  <c r="P309" i="3"/>
  <c r="E309" i="3" s="1"/>
  <c r="G309" i="3" s="1"/>
  <c r="H309" i="3" s="1"/>
  <c r="P308" i="3"/>
  <c r="E308" i="3" s="1"/>
  <c r="G308" i="3" s="1"/>
  <c r="H308" i="3" s="1"/>
  <c r="P307" i="3"/>
  <c r="E307" i="3" s="1"/>
  <c r="G307" i="3" s="1"/>
  <c r="H307" i="3" s="1"/>
  <c r="D306" i="3"/>
  <c r="P305" i="3"/>
  <c r="P304" i="3" s="1"/>
  <c r="E304" i="3"/>
  <c r="G304" i="3" s="1"/>
  <c r="H304" i="3" s="1"/>
  <c r="P303" i="3"/>
  <c r="P302" i="3" s="1"/>
  <c r="F301" i="3"/>
  <c r="D301" i="3"/>
  <c r="P300" i="3"/>
  <c r="P299" i="3"/>
  <c r="D297" i="3"/>
  <c r="P296" i="3"/>
  <c r="P295" i="3" s="1"/>
  <c r="G296" i="3"/>
  <c r="H296" i="3" s="1"/>
  <c r="F294" i="3"/>
  <c r="D294" i="3"/>
  <c r="P293" i="3"/>
  <c r="G293" i="3"/>
  <c r="H293" i="3" s="1"/>
  <c r="P292" i="3"/>
  <c r="G292" i="3"/>
  <c r="H292" i="3" s="1"/>
  <c r="P291" i="3"/>
  <c r="P289" i="3"/>
  <c r="G288" i="3"/>
  <c r="H288" i="3" s="1"/>
  <c r="P287" i="3"/>
  <c r="G285" i="3"/>
  <c r="H285" i="3" s="1"/>
  <c r="P284" i="3"/>
  <c r="P283" i="3"/>
  <c r="G282" i="3"/>
  <c r="H282" i="3" s="1"/>
  <c r="P280" i="3"/>
  <c r="G280" i="3"/>
  <c r="H280" i="3" s="1"/>
  <c r="P279" i="3"/>
  <c r="G279" i="3"/>
  <c r="H279" i="3" s="1"/>
  <c r="P278" i="3"/>
  <c r="P276" i="3"/>
  <c r="P274" i="3"/>
  <c r="P273" i="3"/>
  <c r="P272" i="3"/>
  <c r="P271" i="3"/>
  <c r="P270" i="3" s="1"/>
  <c r="E270" i="3" s="1"/>
  <c r="G270" i="3" s="1"/>
  <c r="H270" i="3" s="1"/>
  <c r="F269" i="3"/>
  <c r="D269" i="3"/>
  <c r="P268" i="3"/>
  <c r="P267" i="3"/>
  <c r="P266" i="3"/>
  <c r="P265" i="3"/>
  <c r="P263" i="3"/>
  <c r="H263" i="3"/>
  <c r="G263" i="3"/>
  <c r="P262" i="3"/>
  <c r="P261" i="3"/>
  <c r="P259" i="3" s="1"/>
  <c r="H261" i="3"/>
  <c r="G261" i="3"/>
  <c r="P260" i="3"/>
  <c r="H260" i="3"/>
  <c r="G260" i="3"/>
  <c r="F258" i="3"/>
  <c r="D258" i="3"/>
  <c r="P257" i="3"/>
  <c r="P256" i="3" s="1"/>
  <c r="E256" i="3" s="1"/>
  <c r="G256" i="3" s="1"/>
  <c r="H256" i="3" s="1"/>
  <c r="P255" i="3"/>
  <c r="H255" i="3"/>
  <c r="P254" i="3"/>
  <c r="P252" i="3" s="1"/>
  <c r="E252" i="3" s="1"/>
  <c r="G252" i="3" s="1"/>
  <c r="H252" i="3" s="1"/>
  <c r="P253" i="3"/>
  <c r="P251" i="3"/>
  <c r="H251" i="3"/>
  <c r="P250" i="3"/>
  <c r="P249" i="3"/>
  <c r="P247" i="3"/>
  <c r="P246" i="3"/>
  <c r="P245" i="3"/>
  <c r="P244" i="3"/>
  <c r="P243" i="3"/>
  <c r="P242" i="3"/>
  <c r="F240" i="3"/>
  <c r="D240" i="3"/>
  <c r="P239" i="3"/>
  <c r="P237" i="3"/>
  <c r="P236" i="3"/>
  <c r="P234" i="3"/>
  <c r="P232" i="3" s="1"/>
  <c r="E232" i="3" s="1"/>
  <c r="G232" i="3" s="1"/>
  <c r="H232" i="3" s="1"/>
  <c r="F231" i="3"/>
  <c r="D231" i="3"/>
  <c r="P230" i="3"/>
  <c r="P229" i="3" s="1"/>
  <c r="E229" i="3" s="1"/>
  <c r="G229" i="3" s="1"/>
  <c r="H229" i="3" s="1"/>
  <c r="P228" i="3"/>
  <c r="P227" i="3"/>
  <c r="P226" i="3"/>
  <c r="P225" i="3"/>
  <c r="P224" i="3"/>
  <c r="P222" i="3"/>
  <c r="G222" i="3"/>
  <c r="H222" i="3" s="1"/>
  <c r="P221" i="3"/>
  <c r="P220" i="3"/>
  <c r="G220" i="3"/>
  <c r="H220" i="3" s="1"/>
  <c r="P218" i="3"/>
  <c r="P217" i="3"/>
  <c r="G217" i="3"/>
  <c r="H217" i="3" s="1"/>
  <c r="P216" i="3"/>
  <c r="P215" i="3"/>
  <c r="G215" i="3"/>
  <c r="H215" i="3" s="1"/>
  <c r="G214" i="3"/>
  <c r="H214" i="3" s="1"/>
  <c r="F213" i="3"/>
  <c r="D213" i="3"/>
  <c r="P212" i="3"/>
  <c r="P211" i="3" s="1"/>
  <c r="E211" i="3" s="1"/>
  <c r="G211" i="3" s="1"/>
  <c r="H211" i="3" s="1"/>
  <c r="P210" i="3"/>
  <c r="P209" i="3"/>
  <c r="P208" i="3"/>
  <c r="P206" i="3"/>
  <c r="P205" i="3"/>
  <c r="P204" i="3"/>
  <c r="P203" i="3"/>
  <c r="P202" i="3"/>
  <c r="G202" i="3"/>
  <c r="H202" i="3" s="1"/>
  <c r="F200" i="3"/>
  <c r="D200" i="3"/>
  <c r="P199" i="3"/>
  <c r="P198" i="3"/>
  <c r="P196" i="3"/>
  <c r="P194" i="3" s="1"/>
  <c r="E194" i="3" s="1"/>
  <c r="G194" i="3" s="1"/>
  <c r="H194" i="3" s="1"/>
  <c r="G196" i="3"/>
  <c r="H196" i="3" s="1"/>
  <c r="G195" i="3"/>
  <c r="H195" i="3" s="1"/>
  <c r="P191" i="3"/>
  <c r="P190" i="3" s="1"/>
  <c r="P189" i="3"/>
  <c r="P188" i="3" s="1"/>
  <c r="P187" i="3"/>
  <c r="P186" i="3"/>
  <c r="P185" i="3" s="1"/>
  <c r="P184" i="3"/>
  <c r="P183" i="3"/>
  <c r="P182" i="3"/>
  <c r="P180" i="3"/>
  <c r="P179" i="3"/>
  <c r="P178" i="3" s="1"/>
  <c r="P177" i="3"/>
  <c r="P176" i="3"/>
  <c r="P174" i="3"/>
  <c r="P173" i="3" s="1"/>
  <c r="P172" i="3"/>
  <c r="P171" i="3" s="1"/>
  <c r="P170" i="3"/>
  <c r="P169" i="3"/>
  <c r="P167" i="3"/>
  <c r="P166" i="3"/>
  <c r="P165" i="3" s="1"/>
  <c r="F163" i="3"/>
  <c r="D163" i="3"/>
  <c r="P162" i="3"/>
  <c r="P161" i="3" s="1"/>
  <c r="E161" i="3" s="1"/>
  <c r="G161" i="3" s="1"/>
  <c r="H161" i="3" s="1"/>
  <c r="P160" i="3"/>
  <c r="P159" i="3"/>
  <c r="P158" i="3"/>
  <c r="P157" i="3"/>
  <c r="P156" i="3"/>
  <c r="P154" i="3"/>
  <c r="P153" i="3"/>
  <c r="F151" i="3"/>
  <c r="D151" i="3"/>
  <c r="P150" i="3"/>
  <c r="P149" i="3"/>
  <c r="P148" i="3"/>
  <c r="F146" i="3"/>
  <c r="D146" i="3"/>
  <c r="P145" i="3"/>
  <c r="P144" i="3"/>
  <c r="P143" i="3"/>
  <c r="P142" i="3"/>
  <c r="P141" i="3"/>
  <c r="P140" i="3"/>
  <c r="P139" i="3"/>
  <c r="F136" i="3"/>
  <c r="D136" i="3"/>
  <c r="P135" i="3"/>
  <c r="P134" i="3" s="1"/>
  <c r="E134" i="3" s="1"/>
  <c r="G134" i="3" s="1"/>
  <c r="H134" i="3" s="1"/>
  <c r="H135" i="3"/>
  <c r="P133" i="3"/>
  <c r="P132" i="3" s="1"/>
  <c r="E132" i="3" s="1"/>
  <c r="G132" i="3" s="1"/>
  <c r="H132" i="3" s="1"/>
  <c r="H133" i="3"/>
  <c r="P131" i="3"/>
  <c r="P130" i="3" s="1"/>
  <c r="E130" i="3" s="1"/>
  <c r="G130" i="3" s="1"/>
  <c r="H130" i="3" s="1"/>
  <c r="H131" i="3"/>
  <c r="P129" i="3"/>
  <c r="G129" i="3"/>
  <c r="H129" i="3" s="1"/>
  <c r="P128" i="3"/>
  <c r="G128" i="3"/>
  <c r="H128" i="3" s="1"/>
  <c r="P127" i="3"/>
  <c r="E127" i="3" s="1"/>
  <c r="G127" i="3" s="1"/>
  <c r="H127" i="3" s="1"/>
  <c r="P126" i="3"/>
  <c r="G126" i="3"/>
  <c r="H126" i="3" s="1"/>
  <c r="P125" i="3"/>
  <c r="H125" i="3"/>
  <c r="G125" i="3"/>
  <c r="P124" i="3"/>
  <c r="G124" i="3"/>
  <c r="H124" i="3" s="1"/>
  <c r="P123" i="3"/>
  <c r="G123" i="3"/>
  <c r="H123" i="3" s="1"/>
  <c r="F121" i="3"/>
  <c r="D121" i="3"/>
  <c r="P120" i="3"/>
  <c r="P119" i="3" s="1"/>
  <c r="E119" i="3" s="1"/>
  <c r="G119" i="3" s="1"/>
  <c r="H119" i="3" s="1"/>
  <c r="P118" i="3"/>
  <c r="G118" i="3"/>
  <c r="H118" i="3" s="1"/>
  <c r="P117" i="3"/>
  <c r="G117" i="3"/>
  <c r="H117" i="3" s="1"/>
  <c r="P115" i="3"/>
  <c r="E115" i="3" s="1"/>
  <c r="G115" i="3" s="1"/>
  <c r="H115" i="3" s="1"/>
  <c r="P114" i="3"/>
  <c r="P113" i="3"/>
  <c r="G113" i="3"/>
  <c r="H113" i="3" s="1"/>
  <c r="P111" i="3"/>
  <c r="G111" i="3"/>
  <c r="H111" i="3" s="1"/>
  <c r="P110" i="3"/>
  <c r="P109" i="3"/>
  <c r="P108" i="3"/>
  <c r="G108" i="3"/>
  <c r="H108" i="3" s="1"/>
  <c r="P106" i="3"/>
  <c r="P105" i="3"/>
  <c r="P103" i="3"/>
  <c r="P102" i="3"/>
  <c r="F100" i="3"/>
  <c r="D100" i="3"/>
  <c r="P99" i="3"/>
  <c r="P98" i="3" s="1"/>
  <c r="E98" i="3" s="1"/>
  <c r="G99" i="3"/>
  <c r="H99" i="3" s="1"/>
  <c r="G98" i="3"/>
  <c r="H98" i="3" s="1"/>
  <c r="P97" i="3"/>
  <c r="G97" i="3"/>
  <c r="H97" i="3" s="1"/>
  <c r="P96" i="3"/>
  <c r="P95" i="3"/>
  <c r="G95" i="3"/>
  <c r="H95" i="3" s="1"/>
  <c r="P93" i="3"/>
  <c r="G93" i="3"/>
  <c r="H93" i="3" s="1"/>
  <c r="P92" i="3"/>
  <c r="P91" i="3"/>
  <c r="P90" i="3"/>
  <c r="G90" i="3"/>
  <c r="H90" i="3" s="1"/>
  <c r="P88" i="3"/>
  <c r="G88" i="3"/>
  <c r="H88" i="3" s="1"/>
  <c r="P87" i="3"/>
  <c r="F85" i="3"/>
  <c r="D85" i="3"/>
  <c r="D84" i="3" s="1"/>
  <c r="P83" i="3"/>
  <c r="P82" i="3"/>
  <c r="P80" i="3"/>
  <c r="P79" i="3" s="1"/>
  <c r="E79" i="3" s="1"/>
  <c r="G79" i="3" s="1"/>
  <c r="H79" i="3" s="1"/>
  <c r="P78" i="3"/>
  <c r="P77" i="3" s="1"/>
  <c r="F76" i="3"/>
  <c r="D76" i="3"/>
  <c r="P75" i="3"/>
  <c r="G75" i="3"/>
  <c r="H75" i="3" s="1"/>
  <c r="P74" i="3"/>
  <c r="G74" i="3"/>
  <c r="H74" i="3" s="1"/>
  <c r="P72" i="3"/>
  <c r="P71" i="3"/>
  <c r="P70" i="3"/>
  <c r="P69" i="3"/>
  <c r="P68" i="3"/>
  <c r="P67" i="3"/>
  <c r="P66" i="3"/>
  <c r="P64" i="3"/>
  <c r="P63" i="3"/>
  <c r="P62" i="3"/>
  <c r="P61" i="3"/>
  <c r="P59" i="3"/>
  <c r="G59" i="3"/>
  <c r="H59" i="3" s="1"/>
  <c r="P58" i="3"/>
  <c r="H58" i="3"/>
  <c r="G58" i="3"/>
  <c r="P57" i="3"/>
  <c r="G57" i="3"/>
  <c r="H57" i="3" s="1"/>
  <c r="P55" i="3"/>
  <c r="G55" i="3"/>
  <c r="H55" i="3" s="1"/>
  <c r="P54" i="3"/>
  <c r="P53" i="3"/>
  <c r="G53" i="3"/>
  <c r="H53" i="3" s="1"/>
  <c r="P52" i="3"/>
  <c r="P51" i="3"/>
  <c r="G51" i="3"/>
  <c r="H51" i="3" s="1"/>
  <c r="P50" i="3"/>
  <c r="P48" i="3"/>
  <c r="P47" i="3" s="1"/>
  <c r="G48" i="3"/>
  <c r="H48" i="3" s="1"/>
  <c r="F46" i="3"/>
  <c r="D46" i="3"/>
  <c r="P45" i="3"/>
  <c r="G45" i="3"/>
  <c r="H45" i="3" s="1"/>
  <c r="P44" i="3"/>
  <c r="G44" i="3"/>
  <c r="H44" i="3" s="1"/>
  <c r="P43" i="3"/>
  <c r="P42" i="3"/>
  <c r="G42" i="3"/>
  <c r="H42" i="3" s="1"/>
  <c r="P40" i="3"/>
  <c r="P39" i="3"/>
  <c r="P37" i="3"/>
  <c r="G37" i="3"/>
  <c r="H37" i="3" s="1"/>
  <c r="P36" i="3"/>
  <c r="P35" i="3" s="1"/>
  <c r="G36" i="3"/>
  <c r="H36" i="3" s="1"/>
  <c r="F34" i="3"/>
  <c r="D34" i="3"/>
  <c r="P33" i="3"/>
  <c r="P32" i="3"/>
  <c r="P31" i="3"/>
  <c r="P30" i="3"/>
  <c r="P29" i="3"/>
  <c r="P28" i="3"/>
  <c r="G26" i="3"/>
  <c r="H26" i="3" s="1"/>
  <c r="G25" i="3"/>
  <c r="H25" i="3" s="1"/>
  <c r="G24" i="3"/>
  <c r="H24" i="3" s="1"/>
  <c r="J23" i="3"/>
  <c r="J25" i="3" s="1"/>
  <c r="G23" i="3"/>
  <c r="H23" i="3" s="1"/>
  <c r="P22" i="3"/>
  <c r="H22" i="3"/>
  <c r="G22" i="3"/>
  <c r="P20" i="3"/>
  <c r="P19" i="3" s="1"/>
  <c r="E19" i="3" s="1"/>
  <c r="G19" i="3" s="1"/>
  <c r="H19" i="3" s="1"/>
  <c r="G20" i="3"/>
  <c r="H20" i="3" s="1"/>
  <c r="P18" i="3"/>
  <c r="P17" i="3"/>
  <c r="P16" i="3"/>
  <c r="P15" i="3"/>
  <c r="P14" i="3"/>
  <c r="P13" i="3"/>
  <c r="P12" i="3"/>
  <c r="P10" i="3"/>
  <c r="P9" i="3"/>
  <c r="P8" i="3"/>
  <c r="F6" i="3"/>
  <c r="D6" i="3"/>
  <c r="F5" i="3"/>
  <c r="P114" i="2"/>
  <c r="G114" i="2"/>
  <c r="H114" i="2" s="1"/>
  <c r="P113" i="2"/>
  <c r="P112" i="2"/>
  <c r="P111" i="2"/>
  <c r="H111" i="2"/>
  <c r="P109" i="2"/>
  <c r="E109" i="2"/>
  <c r="G109" i="2" s="1"/>
  <c r="H109" i="2" s="1"/>
  <c r="P108" i="2"/>
  <c r="E108" i="2" s="1"/>
  <c r="G108" i="2" s="1"/>
  <c r="H108" i="2" s="1"/>
  <c r="D107" i="2"/>
  <c r="D106" i="2" s="1"/>
  <c r="F106" i="2"/>
  <c r="P105" i="2"/>
  <c r="E105" i="2" s="1"/>
  <c r="G105" i="2" s="1"/>
  <c r="H105" i="2" s="1"/>
  <c r="P104" i="2"/>
  <c r="E104" i="2" s="1"/>
  <c r="G104" i="2" s="1"/>
  <c r="H104" i="2" s="1"/>
  <c r="P103" i="2"/>
  <c r="E103" i="2" s="1"/>
  <c r="P102" i="2"/>
  <c r="P101" i="2" s="1"/>
  <c r="F102" i="2"/>
  <c r="F101" i="2" s="1"/>
  <c r="D102" i="2"/>
  <c r="D101" i="2" s="1"/>
  <c r="P100" i="2"/>
  <c r="P99" i="2"/>
  <c r="P98" i="2"/>
  <c r="P96" i="2"/>
  <c r="H96" i="2"/>
  <c r="G96" i="2"/>
  <c r="P95" i="2"/>
  <c r="P94" i="2" s="1"/>
  <c r="E94" i="2" s="1"/>
  <c r="G94" i="2" s="1"/>
  <c r="H94" i="2" s="1"/>
  <c r="P93" i="2"/>
  <c r="H93" i="2"/>
  <c r="P92" i="2"/>
  <c r="P90" i="2"/>
  <c r="G90" i="2"/>
  <c r="P89" i="2"/>
  <c r="P88" i="2" s="1"/>
  <c r="G89" i="2"/>
  <c r="F87" i="2"/>
  <c r="F86" i="2" s="1"/>
  <c r="D87" i="2"/>
  <c r="D86" i="2" s="1"/>
  <c r="P85" i="2"/>
  <c r="H85" i="2"/>
  <c r="P84" i="2"/>
  <c r="P83" i="2"/>
  <c r="H83" i="2"/>
  <c r="P82" i="2"/>
  <c r="P81" i="2"/>
  <c r="P80" i="2"/>
  <c r="P79" i="2"/>
  <c r="H79" i="2"/>
  <c r="P78" i="2"/>
  <c r="H78" i="2"/>
  <c r="P77" i="2"/>
  <c r="G77" i="2"/>
  <c r="H77" i="2" s="1"/>
  <c r="P75" i="2"/>
  <c r="P74" i="2"/>
  <c r="P73" i="2" s="1"/>
  <c r="E73" i="2" s="1"/>
  <c r="G73" i="2" s="1"/>
  <c r="H73" i="2" s="1"/>
  <c r="G74" i="2"/>
  <c r="H74" i="2" s="1"/>
  <c r="P72" i="2"/>
  <c r="P71" i="2" s="1"/>
  <c r="F70" i="2"/>
  <c r="D70" i="2"/>
  <c r="P69" i="2"/>
  <c r="P68" i="2"/>
  <c r="P67" i="2"/>
  <c r="P66" i="2" s="1"/>
  <c r="E66" i="2" s="1"/>
  <c r="G66" i="2" s="1"/>
  <c r="H66" i="2" s="1"/>
  <c r="P65" i="2"/>
  <c r="P64" i="2"/>
  <c r="P63" i="2"/>
  <c r="P61" i="2"/>
  <c r="P60" i="2"/>
  <c r="P59" i="2"/>
  <c r="P58" i="2"/>
  <c r="P56" i="2"/>
  <c r="P55" i="2" s="1"/>
  <c r="H56" i="2"/>
  <c r="P54" i="2"/>
  <c r="P53" i="2"/>
  <c r="E53" i="2" s="1"/>
  <c r="F52" i="2"/>
  <c r="F51" i="2" s="1"/>
  <c r="D52" i="2"/>
  <c r="D51" i="2" s="1"/>
  <c r="P50" i="2"/>
  <c r="P49" i="2" s="1"/>
  <c r="F48" i="2"/>
  <c r="F47" i="2" s="1"/>
  <c r="D48" i="2"/>
  <c r="D47" i="2"/>
  <c r="P46" i="2"/>
  <c r="E46" i="2" s="1"/>
  <c r="P45" i="2"/>
  <c r="P44" i="2" s="1"/>
  <c r="F45" i="2"/>
  <c r="D45" i="2"/>
  <c r="D44" i="2" s="1"/>
  <c r="F44" i="2"/>
  <c r="P43" i="2"/>
  <c r="P39" i="2" s="1"/>
  <c r="P38" i="2"/>
  <c r="P37" i="2"/>
  <c r="P36" i="2"/>
  <c r="P35" i="2"/>
  <c r="P34" i="2"/>
  <c r="P33" i="2"/>
  <c r="P32" i="2"/>
  <c r="P31" i="2"/>
  <c r="P30" i="2"/>
  <c r="P29" i="2"/>
  <c r="P28" i="2"/>
  <c r="P27" i="2"/>
  <c r="P26" i="2"/>
  <c r="D23" i="2"/>
  <c r="D22" i="2"/>
  <c r="P21" i="2"/>
  <c r="P20" i="2"/>
  <c r="E20" i="2" s="1"/>
  <c r="G20" i="2" s="1"/>
  <c r="H20" i="2" s="1"/>
  <c r="P19" i="2"/>
  <c r="P18" i="2"/>
  <c r="P17" i="2"/>
  <c r="P15" i="2"/>
  <c r="P14" i="2"/>
  <c r="E14" i="2" s="1"/>
  <c r="G14" i="2" s="1"/>
  <c r="P13" i="2"/>
  <c r="P12" i="2"/>
  <c r="P11" i="2"/>
  <c r="P10" i="2"/>
  <c r="F8" i="2"/>
  <c r="F7" i="2" s="1"/>
  <c r="D8" i="2"/>
  <c r="D7" i="2"/>
  <c r="F6" i="2"/>
  <c r="F391" i="3" l="1"/>
  <c r="G391" i="3"/>
  <c r="H391" i="3" s="1"/>
  <c r="F23" i="2"/>
  <c r="F22" i="2" s="1"/>
  <c r="P9" i="2"/>
  <c r="P16" i="2"/>
  <c r="E16" i="2" s="1"/>
  <c r="G16" i="2" s="1"/>
  <c r="H16" i="2" s="1"/>
  <c r="P76" i="2"/>
  <c r="E76" i="2" s="1"/>
  <c r="G76" i="2" s="1"/>
  <c r="H76" i="2" s="1"/>
  <c r="P91" i="2"/>
  <c r="E91" i="2" s="1"/>
  <c r="G91" i="2" s="1"/>
  <c r="H91" i="2" s="1"/>
  <c r="P60" i="3"/>
  <c r="E60" i="3" s="1"/>
  <c r="G60" i="3" s="1"/>
  <c r="H60" i="3" s="1"/>
  <c r="P104" i="3"/>
  <c r="E104" i="3" s="1"/>
  <c r="G104" i="3" s="1"/>
  <c r="H104" i="3" s="1"/>
  <c r="P181" i="3"/>
  <c r="P97" i="2"/>
  <c r="E97" i="2" s="1"/>
  <c r="G97" i="2" s="1"/>
  <c r="H97" i="2" s="1"/>
  <c r="P110" i="2"/>
  <c r="P73" i="3"/>
  <c r="E73" i="3" s="1"/>
  <c r="G73" i="3" s="1"/>
  <c r="H73" i="3" s="1"/>
  <c r="P112" i="3"/>
  <c r="E112" i="3" s="1"/>
  <c r="G112" i="3" s="1"/>
  <c r="H112" i="3" s="1"/>
  <c r="P122" i="3"/>
  <c r="E122" i="3" s="1"/>
  <c r="G122" i="3" s="1"/>
  <c r="H122" i="3" s="1"/>
  <c r="P147" i="3"/>
  <c r="P152" i="3"/>
  <c r="E152" i="3" s="1"/>
  <c r="P248" i="3"/>
  <c r="E248" i="3" s="1"/>
  <c r="G248" i="3" s="1"/>
  <c r="H248" i="3" s="1"/>
  <c r="P385" i="3"/>
  <c r="P25" i="2"/>
  <c r="P24" i="2" s="1"/>
  <c r="P57" i="2"/>
  <c r="E57" i="2" s="1"/>
  <c r="G57" i="2" s="1"/>
  <c r="H57" i="2" s="1"/>
  <c r="P62" i="2"/>
  <c r="E62" i="2" s="1"/>
  <c r="G62" i="2" s="1"/>
  <c r="H62" i="2" s="1"/>
  <c r="D5" i="3"/>
  <c r="D4" i="3" s="1"/>
  <c r="P81" i="3"/>
  <c r="E81" i="3" s="1"/>
  <c r="G81" i="3" s="1"/>
  <c r="H81" i="3" s="1"/>
  <c r="P86" i="3"/>
  <c r="P241" i="3"/>
  <c r="E241" i="3" s="1"/>
  <c r="G241" i="3" s="1"/>
  <c r="H241" i="3" s="1"/>
  <c r="P277" i="3"/>
  <c r="E277" i="3" s="1"/>
  <c r="G277" i="3" s="1"/>
  <c r="E147" i="3"/>
  <c r="G147" i="3" s="1"/>
  <c r="H147" i="3" s="1"/>
  <c r="P146" i="3"/>
  <c r="F395" i="3"/>
  <c r="G395" i="3"/>
  <c r="H395" i="3" s="1"/>
  <c r="E240" i="3"/>
  <c r="G240" i="3" s="1"/>
  <c r="H240" i="3" s="1"/>
  <c r="P41" i="3"/>
  <c r="E41" i="3" s="1"/>
  <c r="G41" i="3" s="1"/>
  <c r="H41" i="3" s="1"/>
  <c r="P49" i="3"/>
  <c r="E49" i="3" s="1"/>
  <c r="G49" i="3" s="1"/>
  <c r="H49" i="3" s="1"/>
  <c r="P65" i="3"/>
  <c r="E65" i="3" s="1"/>
  <c r="G65" i="3" s="1"/>
  <c r="H65" i="3" s="1"/>
  <c r="P116" i="3"/>
  <c r="E116" i="3" s="1"/>
  <c r="G116" i="3" s="1"/>
  <c r="H116" i="3" s="1"/>
  <c r="P175" i="3"/>
  <c r="P197" i="3"/>
  <c r="E197" i="3" s="1"/>
  <c r="G197" i="3" s="1"/>
  <c r="H197" i="3" s="1"/>
  <c r="P207" i="3"/>
  <c r="E207" i="3" s="1"/>
  <c r="G207" i="3" s="1"/>
  <c r="H207" i="3" s="1"/>
  <c r="P38" i="3"/>
  <c r="E38" i="3" s="1"/>
  <c r="G38" i="3" s="1"/>
  <c r="H38" i="3" s="1"/>
  <c r="P89" i="3"/>
  <c r="E89" i="3" s="1"/>
  <c r="G89" i="3" s="1"/>
  <c r="H89" i="3" s="1"/>
  <c r="P94" i="3"/>
  <c r="E94" i="3" s="1"/>
  <c r="G94" i="3" s="1"/>
  <c r="H94" i="3" s="1"/>
  <c r="P101" i="3"/>
  <c r="E101" i="3" s="1"/>
  <c r="P138" i="3"/>
  <c r="P137" i="3" s="1"/>
  <c r="P155" i="3"/>
  <c r="P168" i="3"/>
  <c r="P201" i="3"/>
  <c r="P200" i="3" s="1"/>
  <c r="P214" i="3"/>
  <c r="P223" i="3"/>
  <c r="E223" i="3" s="1"/>
  <c r="G223" i="3" s="1"/>
  <c r="H223" i="3" s="1"/>
  <c r="P76" i="3"/>
  <c r="P240" i="3"/>
  <c r="F392" i="3"/>
  <c r="P7" i="3"/>
  <c r="P11" i="3"/>
  <c r="E11" i="3" s="1"/>
  <c r="G11" i="3" s="1"/>
  <c r="H11" i="3" s="1"/>
  <c r="P27" i="3"/>
  <c r="E27" i="3" s="1"/>
  <c r="G27" i="3" s="1"/>
  <c r="H27" i="3" s="1"/>
  <c r="P219" i="3"/>
  <c r="E219" i="3" s="1"/>
  <c r="P235" i="3"/>
  <c r="P231" i="3" s="1"/>
  <c r="P290" i="3"/>
  <c r="E290" i="3" s="1"/>
  <c r="G290" i="3" s="1"/>
  <c r="H290" i="3" s="1"/>
  <c r="P298" i="3"/>
  <c r="P25" i="3"/>
  <c r="J26" i="3"/>
  <c r="P26" i="3" s="1"/>
  <c r="E47" i="3"/>
  <c r="E35" i="3"/>
  <c r="P34" i="3"/>
  <c r="E7" i="3"/>
  <c r="G219" i="3"/>
  <c r="H219" i="3" s="1"/>
  <c r="E213" i="3"/>
  <c r="G213" i="3" s="1"/>
  <c r="H213" i="3" s="1"/>
  <c r="P23" i="3"/>
  <c r="J24" i="3" s="1"/>
  <c r="P24" i="3" s="1"/>
  <c r="P21" i="3" s="1"/>
  <c r="F84" i="3"/>
  <c r="F4" i="3" s="1"/>
  <c r="P85" i="3"/>
  <c r="G101" i="3"/>
  <c r="H101" i="3" s="1"/>
  <c r="P121" i="3"/>
  <c r="G152" i="3"/>
  <c r="H152" i="3" s="1"/>
  <c r="E302" i="3"/>
  <c r="P301" i="3"/>
  <c r="G393" i="3"/>
  <c r="H393" i="3" s="1"/>
  <c r="F393" i="3"/>
  <c r="P56" i="3"/>
  <c r="E56" i="3" s="1"/>
  <c r="G56" i="3" s="1"/>
  <c r="H56" i="3" s="1"/>
  <c r="E77" i="3"/>
  <c r="P107" i="3"/>
  <c r="E107" i="3" s="1"/>
  <c r="G107" i="3" s="1"/>
  <c r="H107" i="3" s="1"/>
  <c r="E137" i="3"/>
  <c r="P136" i="3"/>
  <c r="E146" i="3"/>
  <c r="G146" i="3" s="1"/>
  <c r="H146" i="3" s="1"/>
  <c r="E201" i="3"/>
  <c r="E86" i="3"/>
  <c r="E121" i="3"/>
  <c r="G121" i="3" s="1"/>
  <c r="H121" i="3" s="1"/>
  <c r="P164" i="3"/>
  <c r="E235" i="3"/>
  <c r="G235" i="3" s="1"/>
  <c r="H235" i="3" s="1"/>
  <c r="E259" i="3"/>
  <c r="P264" i="3"/>
  <c r="E264" i="3" s="1"/>
  <c r="G264" i="3" s="1"/>
  <c r="H264" i="3" s="1"/>
  <c r="E298" i="3"/>
  <c r="P297" i="3"/>
  <c r="P306" i="3"/>
  <c r="E306" i="3" s="1"/>
  <c r="G306" i="3" s="1"/>
  <c r="H306" i="3" s="1"/>
  <c r="E385" i="3"/>
  <c r="P384" i="3"/>
  <c r="P281" i="3"/>
  <c r="E281" i="3" s="1"/>
  <c r="G281" i="3" s="1"/>
  <c r="H281" i="3" s="1"/>
  <c r="E295" i="3"/>
  <c r="P294" i="3"/>
  <c r="E339" i="3"/>
  <c r="G339" i="3" s="1"/>
  <c r="H339" i="3" s="1"/>
  <c r="F394" i="3"/>
  <c r="P8" i="2"/>
  <c r="P7" i="2" s="1"/>
  <c r="E9" i="2"/>
  <c r="G46" i="2"/>
  <c r="E45" i="2"/>
  <c r="E49" i="2"/>
  <c r="P48" i="2"/>
  <c r="P47" i="2" s="1"/>
  <c r="E55" i="2"/>
  <c r="G55" i="2" s="1"/>
  <c r="H55" i="2" s="1"/>
  <c r="P52" i="2"/>
  <c r="P23" i="2"/>
  <c r="P22" i="2" s="1"/>
  <c r="E24" i="2"/>
  <c r="G53" i="2"/>
  <c r="H53" i="2" s="1"/>
  <c r="E52" i="2"/>
  <c r="E71" i="2"/>
  <c r="P70" i="2"/>
  <c r="G103" i="2"/>
  <c r="H103" i="2" s="1"/>
  <c r="E102" i="2"/>
  <c r="D6" i="2"/>
  <c r="P87" i="2"/>
  <c r="P86" i="2" s="1"/>
  <c r="E88" i="2"/>
  <c r="E110" i="2"/>
  <c r="P107" i="2"/>
  <c r="P106" i="2" s="1"/>
  <c r="P51" i="2" l="1"/>
  <c r="P258" i="3"/>
  <c r="P151" i="3"/>
  <c r="E155" i="3"/>
  <c r="P269" i="3"/>
  <c r="E269" i="3" s="1"/>
  <c r="G269" i="3" s="1"/>
  <c r="H269" i="3" s="1"/>
  <c r="P213" i="3"/>
  <c r="P46" i="3"/>
  <c r="E21" i="3"/>
  <c r="G21" i="3" s="1"/>
  <c r="H21" i="3" s="1"/>
  <c r="P6" i="3"/>
  <c r="E76" i="3"/>
  <c r="G76" i="3" s="1"/>
  <c r="H76" i="3" s="1"/>
  <c r="G77" i="3"/>
  <c r="H77" i="3" s="1"/>
  <c r="E100" i="3"/>
  <c r="G100" i="3" s="1"/>
  <c r="H100" i="3" s="1"/>
  <c r="G7" i="3"/>
  <c r="H7" i="3" s="1"/>
  <c r="E6" i="3"/>
  <c r="G259" i="3"/>
  <c r="H259" i="3" s="1"/>
  <c r="E258" i="3"/>
  <c r="G258" i="3" s="1"/>
  <c r="H258" i="3" s="1"/>
  <c r="E85" i="3"/>
  <c r="G86" i="3"/>
  <c r="H86" i="3" s="1"/>
  <c r="E136" i="3"/>
  <c r="G136" i="3" s="1"/>
  <c r="H136" i="3" s="1"/>
  <c r="G137" i="3"/>
  <c r="H137" i="3" s="1"/>
  <c r="E301" i="3"/>
  <c r="G301" i="3" s="1"/>
  <c r="H301" i="3" s="1"/>
  <c r="G302" i="3"/>
  <c r="H302" i="3" s="1"/>
  <c r="G47" i="3"/>
  <c r="H47" i="3" s="1"/>
  <c r="E46" i="3"/>
  <c r="G46" i="3" s="1"/>
  <c r="H46" i="3" s="1"/>
  <c r="E294" i="3"/>
  <c r="G294" i="3" s="1"/>
  <c r="H294" i="3" s="1"/>
  <c r="G295" i="3"/>
  <c r="H295" i="3" s="1"/>
  <c r="E297" i="3"/>
  <c r="G297" i="3" s="1"/>
  <c r="H297" i="3" s="1"/>
  <c r="G298" i="3"/>
  <c r="H298" i="3" s="1"/>
  <c r="G35" i="3"/>
  <c r="H35" i="3" s="1"/>
  <c r="E34" i="3"/>
  <c r="G34" i="3" s="1"/>
  <c r="H34" i="3" s="1"/>
  <c r="E200" i="3"/>
  <c r="G200" i="3" s="1"/>
  <c r="H200" i="3" s="1"/>
  <c r="G201" i="3"/>
  <c r="H201" i="3" s="1"/>
  <c r="G385" i="3"/>
  <c r="H385" i="3" s="1"/>
  <c r="E384" i="3"/>
  <c r="G384" i="3" s="1"/>
  <c r="H384" i="3" s="1"/>
  <c r="P163" i="3"/>
  <c r="E164" i="3"/>
  <c r="P100" i="3"/>
  <c r="P84" i="3" s="1"/>
  <c r="E231" i="3"/>
  <c r="G231" i="3" s="1"/>
  <c r="H231" i="3" s="1"/>
  <c r="G110" i="2"/>
  <c r="H110" i="2" s="1"/>
  <c r="E107" i="2"/>
  <c r="G52" i="2"/>
  <c r="H52" i="2" s="1"/>
  <c r="E44" i="2"/>
  <c r="G44" i="2" s="1"/>
  <c r="G45" i="2"/>
  <c r="G102" i="2"/>
  <c r="H102" i="2" s="1"/>
  <c r="E101" i="2"/>
  <c r="G101" i="2" s="1"/>
  <c r="H101" i="2" s="1"/>
  <c r="E87" i="2"/>
  <c r="G88" i="2"/>
  <c r="H88" i="2" s="1"/>
  <c r="E23" i="2"/>
  <c r="G24" i="2"/>
  <c r="H24" i="2" s="1"/>
  <c r="E8" i="2"/>
  <c r="G9" i="2"/>
  <c r="H9" i="2" s="1"/>
  <c r="G71" i="2"/>
  <c r="E70" i="2"/>
  <c r="G70" i="2" s="1"/>
  <c r="H70" i="2" s="1"/>
  <c r="G49" i="2"/>
  <c r="H49" i="2" s="1"/>
  <c r="E48" i="2"/>
  <c r="P6" i="2"/>
  <c r="P5" i="3" l="1"/>
  <c r="G155" i="3"/>
  <c r="H155" i="3" s="1"/>
  <c r="E151" i="3"/>
  <c r="G151" i="3" s="1"/>
  <c r="H151" i="3" s="1"/>
  <c r="G6" i="3"/>
  <c r="H6" i="3" s="1"/>
  <c r="E5" i="3"/>
  <c r="G85" i="3"/>
  <c r="H85" i="3" s="1"/>
  <c r="P4" i="3"/>
  <c r="E163" i="3"/>
  <c r="G163" i="3" s="1"/>
  <c r="H163" i="3" s="1"/>
  <c r="G164" i="3"/>
  <c r="H164" i="3" s="1"/>
  <c r="E51" i="2"/>
  <c r="G51" i="2" s="1"/>
  <c r="H51" i="2" s="1"/>
  <c r="G23" i="2"/>
  <c r="H23" i="2" s="1"/>
  <c r="E22" i="2"/>
  <c r="G22" i="2" s="1"/>
  <c r="H22" i="2" s="1"/>
  <c r="G48" i="2"/>
  <c r="H48" i="2" s="1"/>
  <c r="E47" i="2"/>
  <c r="G47" i="2" s="1"/>
  <c r="H47" i="2" s="1"/>
  <c r="E106" i="2"/>
  <c r="G107" i="2"/>
  <c r="G8" i="2"/>
  <c r="H8" i="2" s="1"/>
  <c r="E7" i="2"/>
  <c r="G87" i="2"/>
  <c r="H87" i="2" s="1"/>
  <c r="E86" i="2"/>
  <c r="G86" i="2" s="1"/>
  <c r="H86" i="2" s="1"/>
  <c r="E84" i="3" l="1"/>
  <c r="G84" i="3" s="1"/>
  <c r="H84" i="3" s="1"/>
  <c r="G5" i="3"/>
  <c r="H5" i="3" s="1"/>
  <c r="E4" i="3"/>
  <c r="G4" i="3" s="1"/>
  <c r="H4" i="3" s="1"/>
  <c r="H107" i="2"/>
  <c r="G106" i="2"/>
  <c r="H106" i="2" s="1"/>
  <c r="G7" i="2"/>
  <c r="H7" i="2" s="1"/>
  <c r="E6" i="2"/>
  <c r="G6" i="2" s="1"/>
  <c r="H6" i="2" s="1"/>
</calcChain>
</file>

<file path=xl/sharedStrings.xml><?xml version="1.0" encoding="utf-8"?>
<sst xmlns="http://schemas.openxmlformats.org/spreadsheetml/2006/main" count="2752" uniqueCount="623">
  <si>
    <t>서울가톨릭사회복지회 2018년  세입·세출 예산</t>
    <phoneticPr fontId="2" type="noConversion"/>
  </si>
  <si>
    <t>1.  세 입</t>
    <phoneticPr fontId="2" type="noConversion"/>
  </si>
  <si>
    <t xml:space="preserve"> </t>
    <phoneticPr fontId="2" type="noConversion"/>
  </si>
  <si>
    <t>(단위 : 천원)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</si>
  <si>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</si>
  <si>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</si>
  <si>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</si>
  <si>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2018년 1차
추경예산(A)</t>
    <phoneticPr fontId="2" type="noConversion"/>
  </si>
  <si>
    <t>2018년 2차
추경예산(B)</t>
    <phoneticPr fontId="2" type="noConversion"/>
  </si>
  <si>
    <t xml:space="preserve">2012년 11월 집행액(C)
</t>
    <phoneticPr fontId="2" type="noConversion"/>
  </si>
  <si>
    <t>증감(B-A)</t>
    <phoneticPr fontId="2" type="noConversion"/>
  </si>
  <si>
    <t>금액</t>
    <phoneticPr fontId="2" type="noConversion"/>
  </si>
  <si>
    <t>비율(%)</t>
    <phoneticPr fontId="2" type="noConversion"/>
  </si>
  <si>
    <t>총  계</t>
    <phoneticPr fontId="2" type="noConversion"/>
  </si>
  <si>
    <t>원</t>
    <phoneticPr fontId="2" type="noConversion"/>
  </si>
  <si>
    <t>재산</t>
    <phoneticPr fontId="2" type="noConversion"/>
  </si>
  <si>
    <t>합계</t>
    <phoneticPr fontId="2" type="noConversion"/>
  </si>
  <si>
    <t>수입</t>
    <phoneticPr fontId="2" type="noConversion"/>
  </si>
  <si>
    <t>기본</t>
    <phoneticPr fontId="2" type="noConversion"/>
  </si>
  <si>
    <t>소계</t>
    <phoneticPr fontId="2" type="noConversion"/>
  </si>
  <si>
    <t>재산수입</t>
    <phoneticPr fontId="2" type="noConversion"/>
  </si>
  <si>
    <t>임대수입</t>
    <phoneticPr fontId="2" type="noConversion"/>
  </si>
  <si>
    <t>계</t>
    <phoneticPr fontId="2" type="noConversion"/>
  </si>
  <si>
    <t>원</t>
    <phoneticPr fontId="2" type="noConversion"/>
  </si>
  <si>
    <t>동자동 임대수입(1층)</t>
    <phoneticPr fontId="2" type="noConversion"/>
  </si>
  <si>
    <t>×</t>
    <phoneticPr fontId="2" type="noConversion"/>
  </si>
  <si>
    <t>월</t>
    <phoneticPr fontId="2" type="noConversion"/>
  </si>
  <si>
    <t>=</t>
    <phoneticPr fontId="2" type="noConversion"/>
  </si>
  <si>
    <t>동자동 임대수입(4층)</t>
    <phoneticPr fontId="2" type="noConversion"/>
  </si>
  <si>
    <t>동자동 임대수입(5층)</t>
    <phoneticPr fontId="2" type="noConversion"/>
  </si>
  <si>
    <t>덕계동 임대수입</t>
    <phoneticPr fontId="2" type="noConversion"/>
  </si>
  <si>
    <t>재산 매각 수입</t>
    <phoneticPr fontId="2" type="noConversion"/>
  </si>
  <si>
    <t>×</t>
  </si>
  <si>
    <t>회</t>
    <phoneticPr fontId="2" type="noConversion"/>
  </si>
  <si>
    <t>=</t>
    <phoneticPr fontId="2" type="noConversion"/>
  </si>
  <si>
    <t>장학기금
이자수입</t>
    <phoneticPr fontId="2" type="noConversion"/>
  </si>
  <si>
    <t>요안나장학기금 이자수입</t>
    <phoneticPr fontId="2" type="noConversion"/>
  </si>
  <si>
    <t>성모영보장학기금 이자수입</t>
    <phoneticPr fontId="2" type="noConversion"/>
  </si>
  <si>
    <t>말가리다장학기금 이자수입</t>
    <phoneticPr fontId="2" type="noConversion"/>
  </si>
  <si>
    <t>기타재산수입</t>
    <phoneticPr fontId="2" type="noConversion"/>
  </si>
  <si>
    <t>계</t>
    <phoneticPr fontId="2" type="noConversion"/>
  </si>
  <si>
    <t>기타재산수입 및 배당수입</t>
    <phoneticPr fontId="2" type="noConversion"/>
  </si>
  <si>
    <t>회</t>
    <phoneticPr fontId="2" type="noConversion"/>
  </si>
  <si>
    <t xml:space="preserve"> =</t>
    <phoneticPr fontId="2" type="noConversion"/>
  </si>
  <si>
    <t>사업수입</t>
    <phoneticPr fontId="2" type="noConversion"/>
  </si>
  <si>
    <t>교육사업수입</t>
    <phoneticPr fontId="2" type="noConversion"/>
  </si>
  <si>
    <t>교육수입합계</t>
    <phoneticPr fontId="2" type="noConversion"/>
  </si>
  <si>
    <t xml:space="preserve"> </t>
    <phoneticPr fontId="2" type="noConversion"/>
  </si>
  <si>
    <t>교육기획팀 교육수입</t>
    <phoneticPr fontId="2" type="noConversion"/>
  </si>
  <si>
    <t xml:space="preserve"> - 정체성 기초과정(사회복지사 대상)</t>
    <phoneticPr fontId="2" type="noConversion"/>
  </si>
  <si>
    <t>명</t>
    <phoneticPr fontId="2" type="noConversion"/>
  </si>
  <si>
    <t xml:space="preserve"> - 정체성 기초과정(어린이집 교사대상)</t>
    <phoneticPr fontId="2" type="noConversion"/>
  </si>
  <si>
    <t>명</t>
    <phoneticPr fontId="2" type="noConversion"/>
  </si>
  <si>
    <t xml:space="preserve"> - 정체성 기초과정(비사회복지사 대상)</t>
    <phoneticPr fontId="2" type="noConversion"/>
  </si>
  <si>
    <t xml:space="preserve"> - 정체성 기초과정(숙박)</t>
    <phoneticPr fontId="2" type="noConversion"/>
  </si>
  <si>
    <t xml:space="preserve"> - 정체성 심화과정</t>
    <phoneticPr fontId="2" type="noConversion"/>
  </si>
  <si>
    <t xml:space="preserve"> - 시설장 및 부장 워크숍</t>
    <phoneticPr fontId="2" type="noConversion"/>
  </si>
  <si>
    <t xml:space="preserve"> - 시설장 및 부장 연수</t>
    <phoneticPr fontId="2" type="noConversion"/>
  </si>
  <si>
    <t xml:space="preserve"> - 영성힐링프로그램</t>
    <phoneticPr fontId="2" type="noConversion"/>
  </si>
  <si>
    <t>식</t>
    <phoneticPr fontId="2" type="noConversion"/>
  </si>
  <si>
    <t xml:space="preserve"> - 정체성 보수과정</t>
    <phoneticPr fontId="2" type="noConversion"/>
  </si>
  <si>
    <t xml:space="preserve"> - 등록단체장교육</t>
    <phoneticPr fontId="2" type="noConversion"/>
  </si>
  <si>
    <t xml:space="preserve"> - 가톨릭사회복지학교(본당)</t>
    <phoneticPr fontId="2" type="noConversion"/>
  </si>
  <si>
    <t xml:space="preserve"> - 나눔의 묵상회</t>
    <phoneticPr fontId="2" type="noConversion"/>
  </si>
  <si>
    <t xml:space="preserve"> - 전국가톨릭사회복지대회 참가비</t>
    <phoneticPr fontId="2" type="noConversion"/>
  </si>
  <si>
    <t>자원봉사센터 교육수입</t>
    <phoneticPr fontId="2" type="noConversion"/>
  </si>
  <si>
    <t xml:space="preserve"> - 기본교육</t>
    <phoneticPr fontId="2" type="noConversion"/>
  </si>
  <si>
    <t xml:space="preserve"> - 재교육</t>
    <phoneticPr fontId="2" type="noConversion"/>
  </si>
  <si>
    <t xml:space="preserve"> - 자원봉사 실무자 교육</t>
    <phoneticPr fontId="2" type="noConversion"/>
  </si>
  <si>
    <t xml:space="preserve"> - 등록요원 양성교육</t>
    <phoneticPr fontId="2" type="noConversion"/>
  </si>
  <si>
    <t>과년도수입</t>
    <phoneticPr fontId="2" type="noConversion"/>
  </si>
  <si>
    <t>신규</t>
    <phoneticPr fontId="2" type="noConversion"/>
  </si>
  <si>
    <t>2017년 사업지원금 반환</t>
    <phoneticPr fontId="2" type="noConversion"/>
  </si>
  <si>
    <t>=</t>
  </si>
  <si>
    <t>원</t>
  </si>
  <si>
    <t>보조금수입</t>
    <phoneticPr fontId="2" type="noConversion"/>
  </si>
  <si>
    <t>기타보조금수입</t>
    <phoneticPr fontId="2" type="noConversion"/>
  </si>
  <si>
    <t>한국사회적기업진흥원</t>
    <phoneticPr fontId="2" type="noConversion"/>
  </si>
  <si>
    <t>후원금</t>
    <phoneticPr fontId="2" type="noConversion"/>
  </si>
  <si>
    <t>지정</t>
    <phoneticPr fontId="2" type="noConversion"/>
  </si>
  <si>
    <t>한마음</t>
    <phoneticPr fontId="2" type="noConversion"/>
  </si>
  <si>
    <t>한마음지원금</t>
    <phoneticPr fontId="2" type="noConversion"/>
  </si>
  <si>
    <t>식</t>
    <phoneticPr fontId="2" type="noConversion"/>
  </si>
  <si>
    <t>재해복구</t>
    <phoneticPr fontId="2" type="noConversion"/>
  </si>
  <si>
    <t>지정후원금에 통합</t>
    <phoneticPr fontId="2" type="noConversion"/>
  </si>
  <si>
    <t>장학사업
지정후원금</t>
    <phoneticPr fontId="2" type="noConversion"/>
  </si>
  <si>
    <t>한가족장학금 지정후원</t>
    <phoneticPr fontId="2" type="noConversion"/>
  </si>
  <si>
    <t>월</t>
    <phoneticPr fontId="2" type="noConversion"/>
  </si>
  <si>
    <t>선교200주년장학금 지정후원</t>
    <phoneticPr fontId="2" type="noConversion"/>
  </si>
  <si>
    <t>말가리다장학사업 지정후원</t>
    <phoneticPr fontId="2" type="noConversion"/>
  </si>
  <si>
    <t>요안나장학사업 지정후원</t>
    <phoneticPr fontId="2" type="noConversion"/>
  </si>
  <si>
    <t>지정후원금</t>
    <phoneticPr fontId="2" type="noConversion"/>
  </si>
  <si>
    <t>지정기탁시설지원</t>
    <phoneticPr fontId="2" type="noConversion"/>
  </si>
  <si>
    <t>기타지정후원금</t>
    <phoneticPr fontId="2" type="noConversion"/>
  </si>
  <si>
    <t>돌코리아 1천만</t>
    <phoneticPr fontId="2" type="noConversion"/>
  </si>
  <si>
    <t>성모자선회 지정후원금</t>
    <phoneticPr fontId="2" type="noConversion"/>
  </si>
  <si>
    <t>공모사업지원금</t>
    <phoneticPr fontId="2" type="noConversion"/>
  </si>
  <si>
    <t>경동제약지정후원금</t>
    <phoneticPr fontId="2" type="noConversion"/>
  </si>
  <si>
    <t>바보의나눔 지원금</t>
    <phoneticPr fontId="2" type="noConversion"/>
  </si>
  <si>
    <t>장애인의날행사비 5,000천원+바오로교실기능보강 4,000천원</t>
    <phoneticPr fontId="2" type="noConversion"/>
  </si>
  <si>
    <t>나눔과 꿈'사업지원(카사지센)</t>
    <phoneticPr fontId="2" type="noConversion"/>
  </si>
  <si>
    <t>후원금</t>
    <phoneticPr fontId="2" type="noConversion"/>
  </si>
  <si>
    <t>비지정</t>
    <phoneticPr fontId="2" type="noConversion"/>
  </si>
  <si>
    <t>혼배기부</t>
    <phoneticPr fontId="2" type="noConversion"/>
  </si>
  <si>
    <t>혼배기부 축복미</t>
    <phoneticPr fontId="2" type="noConversion"/>
  </si>
  <si>
    <t>한끼100원</t>
    <phoneticPr fontId="2" type="noConversion"/>
  </si>
  <si>
    <t>본당</t>
    <phoneticPr fontId="2" type="noConversion"/>
  </si>
  <si>
    <t>본회</t>
    <phoneticPr fontId="2" type="noConversion"/>
  </si>
  <si>
    <t>개인후원금</t>
    <phoneticPr fontId="2" type="noConversion"/>
  </si>
  <si>
    <t>계좌입금 후원</t>
    <phoneticPr fontId="2" type="noConversion"/>
  </si>
  <si>
    <t>CMS</t>
    <phoneticPr fontId="2" type="noConversion"/>
  </si>
  <si>
    <t>×</t>
    <phoneticPr fontId="2" type="noConversion"/>
  </si>
  <si>
    <t>바보의나눔(희망의밥) 후원금</t>
    <phoneticPr fontId="2" type="noConversion"/>
  </si>
  <si>
    <t>대림절 저금통</t>
    <phoneticPr fontId="2" type="noConversion"/>
  </si>
  <si>
    <t>사순절 저금통</t>
    <phoneticPr fontId="2" type="noConversion"/>
  </si>
  <si>
    <t>지로후원</t>
    <phoneticPr fontId="2" type="noConversion"/>
  </si>
  <si>
    <t>자동차보험모금</t>
    <phoneticPr fontId="2" type="noConversion"/>
  </si>
  <si>
    <t>해피빈모금</t>
    <phoneticPr fontId="2" type="noConversion"/>
  </si>
  <si>
    <t>신한아름인포인트기부</t>
    <phoneticPr fontId="2" type="noConversion"/>
  </si>
  <si>
    <t>전입금</t>
    <phoneticPr fontId="2" type="noConversion"/>
  </si>
  <si>
    <t>교구전입금</t>
    <phoneticPr fontId="2" type="noConversion"/>
  </si>
  <si>
    <t>임대료 지원(본회)</t>
    <phoneticPr fontId="2" type="noConversion"/>
  </si>
  <si>
    <t>사회복지사업 지원금</t>
    <phoneticPr fontId="2" type="noConversion"/>
  </si>
  <si>
    <t>사순절</t>
    <phoneticPr fontId="2" type="noConversion"/>
  </si>
  <si>
    <t>사순절저금통(본당)</t>
    <phoneticPr fontId="2" type="noConversion"/>
  </si>
  <si>
    <t>교구2차헌금</t>
    <phoneticPr fontId="2" type="noConversion"/>
  </si>
  <si>
    <t xml:space="preserve">자선주일 </t>
    <phoneticPr fontId="2" type="noConversion"/>
  </si>
  <si>
    <t>대림절 저금통(본당)</t>
    <phoneticPr fontId="2" type="noConversion"/>
  </si>
  <si>
    <t>기타교구전입금</t>
    <phoneticPr fontId="2" type="noConversion"/>
  </si>
  <si>
    <t xml:space="preserve"> 베들레헴어린이집지원(이주사목)</t>
    <phoneticPr fontId="2" type="noConversion"/>
  </si>
  <si>
    <t xml:space="preserve"> 성가정노인복지관지원(명일동성당)</t>
    <phoneticPr fontId="2" type="noConversion"/>
  </si>
  <si>
    <t xml:space="preserve"> 강일동성당 건축비</t>
    <phoneticPr fontId="2" type="noConversion"/>
  </si>
  <si>
    <t>원</t>
    <phoneticPr fontId="2" type="noConversion"/>
  </si>
  <si>
    <t>회</t>
    <phoneticPr fontId="2" type="noConversion"/>
  </si>
  <si>
    <t>=</t>
    <phoneticPr fontId="2" type="noConversion"/>
  </si>
  <si>
    <t>이월금</t>
    <phoneticPr fontId="2" type="noConversion"/>
  </si>
  <si>
    <t>원</t>
    <phoneticPr fontId="2" type="noConversion"/>
  </si>
  <si>
    <t>이월금</t>
    <phoneticPr fontId="2" type="noConversion"/>
  </si>
  <si>
    <t>소계</t>
    <phoneticPr fontId="2" type="noConversion"/>
  </si>
  <si>
    <t xml:space="preserve"> </t>
    <phoneticPr fontId="2" type="noConversion"/>
  </si>
  <si>
    <t>계</t>
    <phoneticPr fontId="2" type="noConversion"/>
  </si>
  <si>
    <t>원</t>
    <phoneticPr fontId="2" type="noConversion"/>
  </si>
  <si>
    <t>비지정후원이월금</t>
    <phoneticPr fontId="2" type="noConversion"/>
  </si>
  <si>
    <t>비지정후원이월금</t>
    <phoneticPr fontId="2" type="noConversion"/>
  </si>
  <si>
    <t>회</t>
  </si>
  <si>
    <t>지정후원이월금</t>
    <phoneticPr fontId="2" type="noConversion"/>
  </si>
  <si>
    <t>지정후원이월금</t>
    <phoneticPr fontId="2" type="noConversion"/>
  </si>
  <si>
    <t>자부담이월금</t>
    <phoneticPr fontId="2" type="noConversion"/>
  </si>
  <si>
    <t>자부담이월금</t>
    <phoneticPr fontId="2" type="noConversion"/>
  </si>
  <si>
    <t>잡수입</t>
    <phoneticPr fontId="2" type="noConversion"/>
  </si>
  <si>
    <t>합계</t>
    <phoneticPr fontId="2" type="noConversion"/>
  </si>
  <si>
    <t>잡수입</t>
    <phoneticPr fontId="2" type="noConversion"/>
  </si>
  <si>
    <t>소계</t>
    <phoneticPr fontId="2" type="noConversion"/>
  </si>
  <si>
    <t>예금이자수입</t>
    <phoneticPr fontId="2" type="noConversion"/>
  </si>
  <si>
    <t>예금이자수입</t>
    <phoneticPr fontId="2" type="noConversion"/>
  </si>
  <si>
    <t>분기</t>
    <phoneticPr fontId="2" type="noConversion"/>
  </si>
  <si>
    <t>법인세환급금</t>
    <phoneticPr fontId="2" type="noConversion"/>
  </si>
  <si>
    <t>2017년 법인세 환급</t>
    <phoneticPr fontId="2" type="noConversion"/>
  </si>
  <si>
    <t>회</t>
    <phoneticPr fontId="2" type="noConversion"/>
  </si>
  <si>
    <t>기타잡수입</t>
    <phoneticPr fontId="2" type="noConversion"/>
  </si>
  <si>
    <t>양초사업 대출금 상환 관련 수입</t>
    <phoneticPr fontId="2" type="noConversion"/>
  </si>
  <si>
    <t>장애인고용장려금</t>
    <phoneticPr fontId="2" type="noConversion"/>
  </si>
  <si>
    <t>전신전화가입 보증금 반환</t>
    <phoneticPr fontId="2" type="noConversion"/>
  </si>
  <si>
    <t>기타잡수입</t>
    <phoneticPr fontId="2" type="noConversion"/>
  </si>
  <si>
    <t>2.  세 출</t>
    <phoneticPr fontId="2" type="noConversion"/>
  </si>
  <si>
    <t>비율</t>
    <phoneticPr fontId="2" type="noConversion"/>
  </si>
  <si>
    <t>총계</t>
    <phoneticPr fontId="2" type="noConversion"/>
  </si>
  <si>
    <t>사무비</t>
    <phoneticPr fontId="2" type="noConversion"/>
  </si>
  <si>
    <t>인건비</t>
    <phoneticPr fontId="2" type="noConversion"/>
  </si>
  <si>
    <t>급여</t>
    <phoneticPr fontId="2" type="noConversion"/>
  </si>
  <si>
    <t>본봉</t>
    <phoneticPr fontId="2" type="noConversion"/>
  </si>
  <si>
    <t>기말수당</t>
    <phoneticPr fontId="2" type="noConversion"/>
  </si>
  <si>
    <t>정근수당</t>
  </si>
  <si>
    <t>수당</t>
    <phoneticPr fontId="2" type="noConversion"/>
  </si>
  <si>
    <t>직무</t>
    <phoneticPr fontId="2" type="noConversion"/>
  </si>
  <si>
    <t>직책</t>
    <phoneticPr fontId="2" type="noConversion"/>
  </si>
  <si>
    <t>법정</t>
    <phoneticPr fontId="2" type="noConversion"/>
  </si>
  <si>
    <t>근속</t>
    <phoneticPr fontId="2" type="noConversion"/>
  </si>
  <si>
    <t>급식비</t>
    <phoneticPr fontId="2" type="noConversion"/>
  </si>
  <si>
    <t>금전출납</t>
    <phoneticPr fontId="2" type="noConversion"/>
  </si>
  <si>
    <t>특별수당(설,추석)</t>
    <phoneticPr fontId="2" type="noConversion"/>
  </si>
  <si>
    <t>퇴직연금</t>
    <phoneticPr fontId="2" type="noConversion"/>
  </si>
  <si>
    <t>/</t>
    <phoneticPr fontId="2" type="noConversion"/>
  </si>
  <si>
    <t>사회보험
부담금</t>
    <phoneticPr fontId="2" type="noConversion"/>
  </si>
  <si>
    <t>국민연금</t>
    <phoneticPr fontId="2" type="noConversion"/>
  </si>
  <si>
    <t>건강보험</t>
    <phoneticPr fontId="2" type="noConversion"/>
  </si>
  <si>
    <t>요양보험</t>
    <phoneticPr fontId="2" type="noConversion"/>
  </si>
  <si>
    <t>고용보험</t>
    <phoneticPr fontId="2" type="noConversion"/>
  </si>
  <si>
    <t>산재보험</t>
    <phoneticPr fontId="2" type="noConversion"/>
  </si>
  <si>
    <t>기타후생경비</t>
    <phoneticPr fontId="2" type="noConversion"/>
  </si>
  <si>
    <t>본인대학학자금</t>
  </si>
  <si>
    <t>자기계발비</t>
    <phoneticPr fontId="2" type="noConversion"/>
  </si>
  <si>
    <t>야근 식대</t>
    <phoneticPr fontId="2" type="noConversion"/>
  </si>
  <si>
    <t>특별수당(부활,휴가,성탄)</t>
    <phoneticPr fontId="2" type="noConversion"/>
  </si>
  <si>
    <t>기타후생비</t>
    <phoneticPr fontId="2" type="noConversion"/>
  </si>
  <si>
    <t>직원 경조사비</t>
    <phoneticPr fontId="2" type="noConversion"/>
  </si>
  <si>
    <t>업무</t>
    <phoneticPr fontId="2" type="noConversion"/>
  </si>
  <si>
    <t>추진비</t>
    <phoneticPr fontId="2" type="noConversion"/>
  </si>
  <si>
    <t>기관운영비</t>
    <phoneticPr fontId="2" type="noConversion"/>
  </si>
  <si>
    <t>기타추진비</t>
    <phoneticPr fontId="2" type="noConversion"/>
  </si>
  <si>
    <t>전례준비비</t>
    <phoneticPr fontId="2" type="noConversion"/>
  </si>
  <si>
    <t>사무비</t>
    <phoneticPr fontId="2" type="noConversion"/>
  </si>
  <si>
    <t>직책보조비</t>
    <phoneticPr fontId="2" type="noConversion"/>
  </si>
  <si>
    <t>회장 직책보조비</t>
    <phoneticPr fontId="2" type="noConversion"/>
  </si>
  <si>
    <t>부회장 직책보조비</t>
    <phoneticPr fontId="2" type="noConversion"/>
  </si>
  <si>
    <t>회의비</t>
    <phoneticPr fontId="2" type="noConversion"/>
  </si>
  <si>
    <t>운영위원 회의비</t>
    <phoneticPr fontId="2" type="noConversion"/>
  </si>
  <si>
    <t>이사회 회의비</t>
    <phoneticPr fontId="2" type="noConversion"/>
  </si>
  <si>
    <t>직원 회의비 등</t>
    <phoneticPr fontId="2" type="noConversion"/>
  </si>
  <si>
    <t>다과구입 등 기타회의비</t>
    <phoneticPr fontId="2" type="noConversion"/>
  </si>
  <si>
    <t>운영비</t>
    <phoneticPr fontId="2" type="noConversion"/>
  </si>
  <si>
    <t>여비</t>
    <phoneticPr fontId="2" type="noConversion"/>
  </si>
  <si>
    <t>출장 여비</t>
    <phoneticPr fontId="2" type="noConversion"/>
  </si>
  <si>
    <t>수용비 및
수수료</t>
    <phoneticPr fontId="2" type="noConversion"/>
  </si>
  <si>
    <t>사무실 및 교육실 임차료</t>
    <phoneticPr fontId="2" type="noConversion"/>
  </si>
  <si>
    <t>회계감사및 세무조정료</t>
    <phoneticPr fontId="2" type="noConversion"/>
  </si>
  <si>
    <t>등기,평가, 중개수수료 등</t>
    <phoneticPr fontId="2" type="noConversion"/>
  </si>
  <si>
    <t>諸유지보수비</t>
    <phoneticPr fontId="2" type="noConversion"/>
  </si>
  <si>
    <t>소모품비</t>
    <phoneticPr fontId="2" type="noConversion"/>
  </si>
  <si>
    <t>기타수수료</t>
    <phoneticPr fontId="2" type="noConversion"/>
  </si>
  <si>
    <t>공공요금</t>
    <phoneticPr fontId="2" type="noConversion"/>
  </si>
  <si>
    <t>전기 · 전화요금</t>
    <phoneticPr fontId="2" type="noConversion"/>
  </si>
  <si>
    <t>인터넷사용료</t>
    <phoneticPr fontId="2" type="noConversion"/>
  </si>
  <si>
    <t>우편물발송비</t>
    <phoneticPr fontId="2" type="noConversion"/>
  </si>
  <si>
    <t>제세공과금</t>
    <phoneticPr fontId="2" type="noConversion"/>
  </si>
  <si>
    <t>재산세 등</t>
    <phoneticPr fontId="2" type="noConversion"/>
  </si>
  <si>
    <t>종부세 및 대부료</t>
    <phoneticPr fontId="2" type="noConversion"/>
  </si>
  <si>
    <t>자동차세 및 자동차보험료</t>
    <phoneticPr fontId="2" type="noConversion"/>
  </si>
  <si>
    <t>대</t>
    <phoneticPr fontId="2" type="noConversion"/>
  </si>
  <si>
    <t>기본재산 양도 법인세</t>
    <phoneticPr fontId="2" type="noConversion"/>
  </si>
  <si>
    <t>기타운영비</t>
    <phoneticPr fontId="2" type="noConversion"/>
  </si>
  <si>
    <t>시설 수탁관리비 등</t>
    <phoneticPr fontId="2" type="noConversion"/>
  </si>
  <si>
    <t>곳</t>
    <phoneticPr fontId="2" type="noConversion"/>
  </si>
  <si>
    <t>법인재산관리비</t>
    <phoneticPr fontId="2" type="noConversion"/>
  </si>
  <si>
    <t>법인 행사비</t>
    <phoneticPr fontId="2" type="noConversion"/>
  </si>
  <si>
    <t>직원교육 및 연수</t>
    <phoneticPr fontId="2" type="noConversion"/>
  </si>
  <si>
    <t>사제공제회비</t>
    <phoneticPr fontId="2" type="noConversion"/>
  </si>
  <si>
    <t>전문가 자문비</t>
    <phoneticPr fontId="2" type="noConversion"/>
  </si>
  <si>
    <t xml:space="preserve">선종봉사부 반환금 </t>
    <phoneticPr fontId="2" type="noConversion"/>
  </si>
  <si>
    <t>차량비</t>
    <phoneticPr fontId="2" type="noConversion"/>
  </si>
  <si>
    <t>차량유류대</t>
    <phoneticPr fontId="2" type="noConversion"/>
  </si>
  <si>
    <t>차량유지비</t>
    <phoneticPr fontId="2" type="noConversion"/>
  </si>
  <si>
    <t>조성비</t>
    <phoneticPr fontId="2" type="noConversion"/>
  </si>
  <si>
    <t>시설비</t>
    <phoneticPr fontId="2" type="noConversion"/>
  </si>
  <si>
    <t>기타 시설비</t>
    <phoneticPr fontId="2" type="noConversion"/>
  </si>
  <si>
    <t>자산취득비</t>
    <phoneticPr fontId="2" type="noConversion"/>
  </si>
  <si>
    <t xml:space="preserve">사무실 컴퓨터 및 비품구입 </t>
    <phoneticPr fontId="2" type="noConversion"/>
  </si>
  <si>
    <t>시설장비
유지비</t>
    <phoneticPr fontId="2" type="noConversion"/>
  </si>
  <si>
    <t>시설장비유지비</t>
    <phoneticPr fontId="2" type="noConversion"/>
  </si>
  <si>
    <t>기타 기본재산 수리비</t>
    <phoneticPr fontId="2" type="noConversion"/>
  </si>
  <si>
    <t>사업비</t>
    <phoneticPr fontId="2" type="noConversion"/>
  </si>
  <si>
    <t>본당사회
복지사업비</t>
    <phoneticPr fontId="2" type="noConversion"/>
  </si>
  <si>
    <t>지구사회사목회운영비</t>
    <phoneticPr fontId="2" type="noConversion"/>
  </si>
  <si>
    <t>지구네트워크구성지원</t>
    <phoneticPr fontId="2" type="noConversion"/>
  </si>
  <si>
    <t>본당사회복지자문위원회 준비비</t>
    <phoneticPr fontId="2" type="noConversion"/>
  </si>
  <si>
    <t xml:space="preserve">본당사회복지사목
시범본당 운영  </t>
    <phoneticPr fontId="2" type="noConversion"/>
  </si>
  <si>
    <t>시범본당 운영비 지원</t>
    <phoneticPr fontId="2" type="noConversion"/>
  </si>
  <si>
    <t>기타운영비(시범본당회의비등)</t>
    <phoneticPr fontId="2" type="noConversion"/>
  </si>
  <si>
    <t>본당사회복지활동보고서제작비 등</t>
    <phoneticPr fontId="2" type="noConversion"/>
  </si>
  <si>
    <t xml:space="preserve">사회복지사목 모범본당 운영지원비 </t>
    <phoneticPr fontId="2" type="noConversion"/>
  </si>
  <si>
    <t>자부담</t>
    <phoneticPr fontId="2" type="noConversion"/>
  </si>
  <si>
    <t xml:space="preserve">본당지원사업 </t>
    <phoneticPr fontId="2" type="noConversion"/>
  </si>
  <si>
    <t>본당지원사업비</t>
    <phoneticPr fontId="2" type="noConversion"/>
  </si>
  <si>
    <t>본당지원사업 모니터링</t>
    <phoneticPr fontId="2" type="noConversion"/>
  </si>
  <si>
    <t>심사비, 설명회</t>
    <phoneticPr fontId="2" type="noConversion"/>
  </si>
  <si>
    <t>x</t>
    <phoneticPr fontId="2" type="noConversion"/>
  </si>
  <si>
    <t>본당나눔행사</t>
    <phoneticPr fontId="2" type="noConversion"/>
  </si>
  <si>
    <t>본당나눔행사(김장)</t>
    <phoneticPr fontId="2" type="noConversion"/>
  </si>
  <si>
    <t>지역사회</t>
    <phoneticPr fontId="2" type="noConversion"/>
  </si>
  <si>
    <t>소  계</t>
    <phoneticPr fontId="2" type="noConversion"/>
  </si>
  <si>
    <t>보호사업</t>
    <phoneticPr fontId="2" type="noConversion"/>
  </si>
  <si>
    <t>빨간밥차</t>
    <phoneticPr fontId="2" type="noConversion"/>
  </si>
  <si>
    <t>운영비</t>
    <phoneticPr fontId="2" type="noConversion"/>
  </si>
  <si>
    <t>동절기 야간순회</t>
    <phoneticPr fontId="2" type="noConversion"/>
  </si>
  <si>
    <t>한가족장학회</t>
    <phoneticPr fontId="2" type="noConversion"/>
  </si>
  <si>
    <t>운영위원회회의비</t>
    <phoneticPr fontId="2" type="noConversion"/>
  </si>
  <si>
    <t>장학금지급</t>
    <phoneticPr fontId="2" type="noConversion"/>
  </si>
  <si>
    <t>선교200주년</t>
    <phoneticPr fontId="2" type="noConversion"/>
  </si>
  <si>
    <t>운영위원회회의비</t>
    <phoneticPr fontId="2" type="noConversion"/>
  </si>
  <si>
    <t>장학금지급(1~2월)</t>
    <phoneticPr fontId="2" type="noConversion"/>
  </si>
  <si>
    <t>장학금지급(3~5월)</t>
    <phoneticPr fontId="2" type="noConversion"/>
  </si>
  <si>
    <t>장학금지급(6~12월)</t>
    <phoneticPr fontId="2" type="noConversion"/>
  </si>
  <si>
    <t>요안나장학회</t>
    <phoneticPr fontId="2" type="noConversion"/>
  </si>
  <si>
    <t>운영위원회의</t>
    <phoneticPr fontId="2" type="noConversion"/>
  </si>
  <si>
    <t>장학금 지급</t>
    <phoneticPr fontId="2" type="noConversion"/>
  </si>
  <si>
    <t>성모영보장학회</t>
    <phoneticPr fontId="2" type="noConversion"/>
  </si>
  <si>
    <t>말가리다장학회</t>
    <phoneticPr fontId="2" type="noConversion"/>
  </si>
  <si>
    <t>재가,특별지원</t>
    <phoneticPr fontId="2" type="noConversion"/>
  </si>
  <si>
    <t>등록시설지원→긴급지원으로 변경</t>
    <phoneticPr fontId="2" type="noConversion"/>
  </si>
  <si>
    <t>분야별
특화사업
정책연구</t>
    <phoneticPr fontId="2" type="noConversion"/>
  </si>
  <si>
    <t xml:space="preserve">장애인의날행사 </t>
    <phoneticPr fontId="2" type="noConversion"/>
  </si>
  <si>
    <t>장애인인식개선</t>
    <phoneticPr fontId="2" type="noConversion"/>
  </si>
  <si>
    <t>홍보비</t>
    <phoneticPr fontId="2" type="noConversion"/>
  </si>
  <si>
    <t>행사진행비(기념식,기념미사,문화행사)</t>
    <phoneticPr fontId="2" type="noConversion"/>
  </si>
  <si>
    <t>평가비(회의비 포함)</t>
    <phoneticPr fontId="2" type="noConversion"/>
  </si>
  <si>
    <t>장애인직업재활 지원 및 연구</t>
    <phoneticPr fontId="2" type="noConversion"/>
  </si>
  <si>
    <t>지역보호작업장공동사업비</t>
    <phoneticPr fontId="2" type="noConversion"/>
  </si>
  <si>
    <t>생애주기별시설설치연구</t>
    <phoneticPr fontId="2" type="noConversion"/>
  </si>
  <si>
    <t>보육자문위원회</t>
    <phoneticPr fontId="2" type="noConversion"/>
  </si>
  <si>
    <t xml:space="preserve">자문위원회의 </t>
    <phoneticPr fontId="2" type="noConversion"/>
  </si>
  <si>
    <t>노인통합사례관리</t>
    <phoneticPr fontId="2" type="noConversion"/>
  </si>
  <si>
    <t>사례관리모형개발비</t>
    <phoneticPr fontId="2" type="noConversion"/>
  </si>
  <si>
    <t>MOU 사업비</t>
    <phoneticPr fontId="2" type="noConversion"/>
  </si>
  <si>
    <t>MOU실무협의회</t>
    <phoneticPr fontId="2" type="noConversion"/>
  </si>
  <si>
    <t>직영수탁</t>
    <phoneticPr fontId="2" type="noConversion"/>
  </si>
  <si>
    <t xml:space="preserve">시설 </t>
    <phoneticPr fontId="2" type="noConversion"/>
  </si>
  <si>
    <t>정기업무점검</t>
    <phoneticPr fontId="2" type="noConversion"/>
  </si>
  <si>
    <t>운영지원</t>
    <phoneticPr fontId="2" type="noConversion"/>
  </si>
  <si>
    <t>정기업무점검</t>
    <phoneticPr fontId="2" type="noConversion"/>
  </si>
  <si>
    <t xml:space="preserve"> - 실무자회의비</t>
    <phoneticPr fontId="2" type="noConversion"/>
  </si>
  <si>
    <t xml:space="preserve"> - 메뉴얼제작비</t>
    <phoneticPr fontId="2" type="noConversion"/>
  </si>
  <si>
    <t xml:space="preserve"> - 업무점검교통비</t>
    <phoneticPr fontId="2" type="noConversion"/>
  </si>
  <si>
    <t xml:space="preserve"> - 점검단교육비</t>
    <phoneticPr fontId="2" type="noConversion"/>
  </si>
  <si>
    <t xml:space="preserve"> - 평가비</t>
    <phoneticPr fontId="2" type="noConversion"/>
  </si>
  <si>
    <t xml:space="preserve"> - 특별업무점검비</t>
    <phoneticPr fontId="2" type="noConversion"/>
  </si>
  <si>
    <t>고충처리위원회</t>
    <phoneticPr fontId="2" type="noConversion"/>
  </si>
  <si>
    <t>사업비</t>
    <phoneticPr fontId="2" type="noConversion"/>
  </si>
  <si>
    <t xml:space="preserve">등록단체 </t>
    <phoneticPr fontId="2" type="noConversion"/>
  </si>
  <si>
    <t>운영체계화</t>
    <phoneticPr fontId="2" type="noConversion"/>
  </si>
  <si>
    <t>시설방문</t>
    <phoneticPr fontId="2" type="noConversion"/>
  </si>
  <si>
    <t>직영수탁시설 기념행사</t>
    <phoneticPr fontId="2" type="noConversion"/>
  </si>
  <si>
    <t>등록단체 축하지원금</t>
    <phoneticPr fontId="2" type="noConversion"/>
  </si>
  <si>
    <t>시설방문비</t>
    <phoneticPr fontId="2" type="noConversion"/>
  </si>
  <si>
    <t>사회복지</t>
    <phoneticPr fontId="2" type="noConversion"/>
  </si>
  <si>
    <t>지원사업</t>
    <phoneticPr fontId="2" type="noConversion"/>
  </si>
  <si>
    <t>등록단체지원사업</t>
    <phoneticPr fontId="2" type="noConversion"/>
  </si>
  <si>
    <t>공모지원사업 운영비</t>
    <phoneticPr fontId="2" type="noConversion"/>
  </si>
  <si>
    <t>등록시설지원금</t>
    <phoneticPr fontId="2" type="noConversion"/>
  </si>
  <si>
    <t>특별지원사업</t>
    <phoneticPr fontId="2" type="noConversion"/>
  </si>
  <si>
    <t>사회적기업진흥원 사업</t>
    <phoneticPr fontId="2" type="noConversion"/>
  </si>
  <si>
    <t>취약계층창업지원(미소금융)</t>
    <phoneticPr fontId="2" type="noConversion"/>
  </si>
  <si>
    <t>공동모금회 지원사업(나눔과 꿈)</t>
    <phoneticPr fontId="2" type="noConversion"/>
  </si>
  <si>
    <t>카사지센 사업비 지원(자부담)</t>
    <phoneticPr fontId="2" type="noConversion"/>
  </si>
  <si>
    <t>가톨릭연극협회 지원(노숙인기금)</t>
    <phoneticPr fontId="2" type="noConversion"/>
  </si>
  <si>
    <t>지정기탁지원사업</t>
    <phoneticPr fontId="2" type="noConversion"/>
  </si>
  <si>
    <t>지정기탁지원사업</t>
    <phoneticPr fontId="2" type="noConversion"/>
  </si>
  <si>
    <t>분야별</t>
    <phoneticPr fontId="2" type="noConversion"/>
  </si>
  <si>
    <t>역량강화 및</t>
    <phoneticPr fontId="2" type="noConversion"/>
  </si>
  <si>
    <t xml:space="preserve">협의회
지원사업 </t>
    <phoneticPr fontId="2" type="noConversion"/>
  </si>
  <si>
    <t xml:space="preserve"> 네트워크 </t>
    <phoneticPr fontId="2" type="noConversion"/>
  </si>
  <si>
    <t>- 대표자협의회</t>
    <phoneticPr fontId="2" type="noConversion"/>
  </si>
  <si>
    <t>사업</t>
    <phoneticPr fontId="2" type="noConversion"/>
  </si>
  <si>
    <t xml:space="preserve">  1. 연수비</t>
    <phoneticPr fontId="2" type="noConversion"/>
  </si>
  <si>
    <t xml:space="preserve">  2. 근조기운영</t>
    <phoneticPr fontId="2" type="noConversion"/>
  </si>
  <si>
    <t>- 어린이집 협의회</t>
    <phoneticPr fontId="2" type="noConversion"/>
  </si>
  <si>
    <t xml:space="preserve">  1.어린이잔치</t>
    <phoneticPr fontId="2" type="noConversion"/>
  </si>
  <si>
    <t xml:space="preserve">  2.중간관리자연수 </t>
    <phoneticPr fontId="2" type="noConversion"/>
  </si>
  <si>
    <t>- 아동.청소년그룹홈</t>
    <phoneticPr fontId="2" type="noConversion"/>
  </si>
  <si>
    <t xml:space="preserve">  1.야외행사</t>
    <phoneticPr fontId="2" type="noConversion"/>
  </si>
  <si>
    <t>- 지역아동센터공부방</t>
    <phoneticPr fontId="2" type="noConversion"/>
  </si>
  <si>
    <t xml:space="preserve">  1.연합행사 </t>
    <phoneticPr fontId="2" type="noConversion"/>
  </si>
  <si>
    <t>- 발달장애인부모회</t>
    <phoneticPr fontId="2" type="noConversion"/>
  </si>
  <si>
    <t xml:space="preserve">  1.발달장애인부모교육</t>
    <phoneticPr fontId="2" type="noConversion"/>
  </si>
  <si>
    <t xml:space="preserve">  2.부모간담회</t>
    <phoneticPr fontId="2" type="noConversion"/>
  </si>
  <si>
    <t>- 여성복지협의회</t>
    <phoneticPr fontId="2" type="noConversion"/>
  </si>
  <si>
    <t xml:space="preserve">  1.실무자교육</t>
    <phoneticPr fontId="2" type="noConversion"/>
  </si>
  <si>
    <t xml:space="preserve">  2.시설장연수</t>
    <phoneticPr fontId="2" type="noConversion"/>
  </si>
  <si>
    <t>- 노숙인등 복지협의회</t>
    <phoneticPr fontId="2" type="noConversion"/>
  </si>
  <si>
    <t xml:space="preserve">  1.실무자연수</t>
    <phoneticPr fontId="2" type="noConversion"/>
  </si>
  <si>
    <t xml:space="preserve">  2.야외행사</t>
    <phoneticPr fontId="2" type="noConversion"/>
  </si>
  <si>
    <t xml:space="preserve">  3.동절기야간순회</t>
    <phoneticPr fontId="2" type="noConversion"/>
  </si>
  <si>
    <t>- 종합사회복지관협의회</t>
    <phoneticPr fontId="2" type="noConversion"/>
  </si>
  <si>
    <t xml:space="preserve">  1.중간관리자연수</t>
    <phoneticPr fontId="2" type="noConversion"/>
  </si>
  <si>
    <t xml:space="preserve">  2.전체직원연수</t>
    <phoneticPr fontId="2" type="noConversion"/>
  </si>
  <si>
    <t>- 서울가톨릭장애인복지협의회</t>
    <phoneticPr fontId="2" type="noConversion"/>
  </si>
  <si>
    <t xml:space="preserve">  1. 성지순례</t>
    <phoneticPr fontId="2" type="noConversion"/>
  </si>
  <si>
    <t>- 지적장애인시설협의회</t>
    <phoneticPr fontId="2" type="noConversion"/>
  </si>
  <si>
    <t xml:space="preserve">  1. 시설장및종사자연수</t>
    <phoneticPr fontId="2" type="noConversion"/>
  </si>
  <si>
    <t>- 의료복지협의회</t>
    <phoneticPr fontId="2" type="noConversion"/>
  </si>
  <si>
    <t xml:space="preserve">  1. 실무자교육</t>
    <phoneticPr fontId="2" type="noConversion"/>
  </si>
  <si>
    <t>봉사단체지원사업</t>
    <phoneticPr fontId="2" type="noConversion"/>
  </si>
  <si>
    <t>수지침봉사회</t>
    <phoneticPr fontId="2" type="noConversion"/>
  </si>
  <si>
    <t>한마음봉사회</t>
    <phoneticPr fontId="2" type="noConversion"/>
  </si>
  <si>
    <t xml:space="preserve">문화복지단체지원사업 </t>
    <phoneticPr fontId="2" type="noConversion"/>
  </si>
  <si>
    <t>카리타스합창단운영비</t>
    <phoneticPr fontId="2" type="noConversion"/>
  </si>
  <si>
    <t>핸드벨정기연주회</t>
    <phoneticPr fontId="2" type="noConversion"/>
  </si>
  <si>
    <t>교육사업</t>
    <phoneticPr fontId="2" type="noConversion"/>
  </si>
  <si>
    <t>종사자
교육비</t>
    <phoneticPr fontId="2" type="noConversion"/>
  </si>
  <si>
    <t>정체성 기초과정</t>
    <phoneticPr fontId="2" type="noConversion"/>
  </si>
  <si>
    <t>정체성 심화과정</t>
    <phoneticPr fontId="2" type="noConversion"/>
  </si>
  <si>
    <t>시설장 및 부장(사무국장)교육</t>
    <phoneticPr fontId="2" type="noConversion"/>
  </si>
  <si>
    <t>등록단체장교육</t>
    <phoneticPr fontId="2" type="noConversion"/>
  </si>
  <si>
    <t>정체성 보수과정</t>
    <phoneticPr fontId="2" type="noConversion"/>
  </si>
  <si>
    <t>본당
신자교육</t>
    <phoneticPr fontId="2" type="noConversion"/>
  </si>
  <si>
    <t>가톨릭사회복지학교</t>
    <phoneticPr fontId="2" type="noConversion"/>
  </si>
  <si>
    <t>사회사목분과 교육</t>
    <phoneticPr fontId="2" type="noConversion"/>
  </si>
  <si>
    <t>나눔의묵상회</t>
    <phoneticPr fontId="2" type="noConversion"/>
  </si>
  <si>
    <t>교육위원회</t>
    <phoneticPr fontId="2" type="noConversion"/>
  </si>
  <si>
    <t>교육자문위원회</t>
    <phoneticPr fontId="2" type="noConversion"/>
  </si>
  <si>
    <t>연구기획</t>
    <phoneticPr fontId="2" type="noConversion"/>
  </si>
  <si>
    <t>연구조사</t>
    <phoneticPr fontId="2" type="noConversion"/>
  </si>
  <si>
    <t>연구조사비</t>
    <phoneticPr fontId="2" type="noConversion"/>
  </si>
  <si>
    <t>심포지엄</t>
    <phoneticPr fontId="2" type="noConversion"/>
  </si>
  <si>
    <t>정책토론회</t>
    <phoneticPr fontId="2" type="noConversion"/>
  </si>
  <si>
    <t>자료실운영</t>
    <phoneticPr fontId="2" type="noConversion"/>
  </si>
  <si>
    <t>사업지원</t>
    <phoneticPr fontId="2" type="noConversion"/>
  </si>
  <si>
    <t>사업계획및 평가 워크숍</t>
    <phoneticPr fontId="2" type="noConversion"/>
  </si>
  <si>
    <t>분기별사업평가</t>
    <phoneticPr fontId="2" type="noConversion"/>
  </si>
  <si>
    <t>사업계획서, 보고서발간</t>
    <phoneticPr fontId="2" type="noConversion"/>
  </si>
  <si>
    <t>대외협력사업</t>
    <phoneticPr fontId="2" type="noConversion"/>
  </si>
  <si>
    <t>한국카리타스</t>
    <phoneticPr fontId="2" type="noConversion"/>
  </si>
  <si>
    <t>한국종교계사회복지협의회</t>
    <phoneticPr fontId="2" type="noConversion"/>
  </si>
  <si>
    <t>생명대행진</t>
    <phoneticPr fontId="2" type="noConversion"/>
  </si>
  <si>
    <t>사회사목국 연계</t>
    <phoneticPr fontId="2" type="noConversion"/>
  </si>
  <si>
    <t>유관기관 방문교류</t>
    <phoneticPr fontId="2" type="noConversion"/>
  </si>
  <si>
    <t>기획사업</t>
    <phoneticPr fontId="2" type="noConversion"/>
  </si>
  <si>
    <t>가톨릭사회복지평가지표보완</t>
    <phoneticPr fontId="2" type="noConversion"/>
  </si>
  <si>
    <t>홍보출판</t>
    <phoneticPr fontId="2" type="noConversion"/>
  </si>
  <si>
    <t>온라인
커뮤니케이션</t>
    <phoneticPr fontId="2" type="noConversion"/>
  </si>
  <si>
    <t>SNS 페이지 운영</t>
    <phoneticPr fontId="2" type="noConversion"/>
  </si>
  <si>
    <t>홈페이지 개편 및 운영</t>
    <phoneticPr fontId="2" type="noConversion"/>
  </si>
  <si>
    <t>오프라인커뮤니케이션</t>
    <phoneticPr fontId="2" type="noConversion"/>
  </si>
  <si>
    <t>언론홍보</t>
    <phoneticPr fontId="2" type="noConversion"/>
  </si>
  <si>
    <t>나눔소식지 발간</t>
    <phoneticPr fontId="2" type="noConversion"/>
  </si>
  <si>
    <t>소개인쇄물제작</t>
    <phoneticPr fontId="2" type="noConversion"/>
  </si>
  <si>
    <t>홍보대사관리</t>
    <phoneticPr fontId="2" type="noConversion"/>
  </si>
  <si>
    <t>모금사업</t>
    <phoneticPr fontId="2" type="noConversion"/>
  </si>
  <si>
    <t>본당모금사업</t>
    <phoneticPr fontId="2" type="noConversion"/>
  </si>
  <si>
    <t>사순절저금통제작</t>
    <phoneticPr fontId="2" type="noConversion"/>
  </si>
  <si>
    <t>사순절주보간지제작</t>
    <phoneticPr fontId="2" type="noConversion"/>
  </si>
  <si>
    <t>대림절저금통제작</t>
    <phoneticPr fontId="2" type="noConversion"/>
  </si>
  <si>
    <t>대림절주보간지제작</t>
    <phoneticPr fontId="2" type="noConversion"/>
  </si>
  <si>
    <t>본회 소개 주보간지제작</t>
    <phoneticPr fontId="2" type="noConversion"/>
  </si>
  <si>
    <t>원.</t>
    <phoneticPr fontId="2" type="noConversion"/>
  </si>
  <si>
    <t>본당모금활동비</t>
    <phoneticPr fontId="2" type="noConversion"/>
  </si>
  <si>
    <t>모금사업</t>
    <phoneticPr fontId="2" type="noConversion"/>
  </si>
  <si>
    <t>지역사회모금</t>
    <phoneticPr fontId="2" type="noConversion"/>
  </si>
  <si>
    <t>한끼100원나누기 본당</t>
    <phoneticPr fontId="2" type="noConversion"/>
  </si>
  <si>
    <t>한끼100원나누기 사업비</t>
    <phoneticPr fontId="2" type="noConversion"/>
  </si>
  <si>
    <t>후원물품 관리비</t>
    <phoneticPr fontId="2" type="noConversion"/>
  </si>
  <si>
    <t xml:space="preserve">이벤트모금 </t>
    <phoneticPr fontId="2" type="noConversion"/>
  </si>
  <si>
    <t>혼배기부 사업비</t>
    <phoneticPr fontId="2" type="noConversion"/>
  </si>
  <si>
    <t>쌀화환대 제작비</t>
    <phoneticPr fontId="2" type="noConversion"/>
  </si>
  <si>
    <t xml:space="preserve">회 </t>
    <phoneticPr fontId="2" type="noConversion"/>
  </si>
  <si>
    <t>모금지원</t>
    <phoneticPr fontId="2" type="noConversion"/>
  </si>
  <si>
    <t>모금자문단</t>
    <phoneticPr fontId="2" type="noConversion"/>
  </si>
  <si>
    <t>모금관리</t>
    <phoneticPr fontId="2" type="noConversion"/>
  </si>
  <si>
    <t>사업관리</t>
    <phoneticPr fontId="2" type="noConversion"/>
  </si>
  <si>
    <t>계</t>
    <phoneticPr fontId="2" type="noConversion"/>
  </si>
  <si>
    <t>지로용지제작 및 발송비</t>
    <phoneticPr fontId="2" type="noConversion"/>
  </si>
  <si>
    <t>월</t>
    <phoneticPr fontId="2" type="noConversion"/>
  </si>
  <si>
    <t>CMS관리비</t>
    <phoneticPr fontId="2" type="noConversion"/>
  </si>
  <si>
    <t>후원자프로그램관리비</t>
    <phoneticPr fontId="2" type="noConversion"/>
  </si>
  <si>
    <t>기타관리비(지로,CMS)</t>
    <phoneticPr fontId="2" type="noConversion"/>
  </si>
  <si>
    <t>식</t>
    <phoneticPr fontId="2" type="noConversion"/>
  </si>
  <si>
    <t>후원자관리</t>
    <phoneticPr fontId="2" type="noConversion"/>
  </si>
  <si>
    <t>계</t>
    <phoneticPr fontId="2" type="noConversion"/>
  </si>
  <si>
    <t>원</t>
    <phoneticPr fontId="2" type="noConversion"/>
  </si>
  <si>
    <t>부활,성탄카드제작및발송</t>
  </si>
  <si>
    <t>후원자 부활성탄선물비</t>
    <phoneticPr fontId="2" type="noConversion"/>
  </si>
  <si>
    <t>회</t>
    <phoneticPr fontId="2" type="noConversion"/>
  </si>
  <si>
    <t>후원자관리비(감사미사, 장기후원자선물 등)</t>
    <phoneticPr fontId="2" type="noConversion"/>
  </si>
  <si>
    <t>후원자우편발송비(감사카드, 영수증 등)</t>
    <phoneticPr fontId="2" type="noConversion"/>
  </si>
  <si>
    <t>월</t>
    <phoneticPr fontId="2" type="noConversion"/>
  </si>
  <si>
    <t>자원봉사</t>
    <phoneticPr fontId="2" type="noConversion"/>
  </si>
  <si>
    <t>소계</t>
    <phoneticPr fontId="2" type="noConversion"/>
  </si>
  <si>
    <t>원</t>
    <phoneticPr fontId="2" type="noConversion"/>
  </si>
  <si>
    <t>센터</t>
    <phoneticPr fontId="2" type="noConversion"/>
  </si>
  <si>
    <t>자원봉사 조직화
 및 활성화(운영지원)</t>
    <phoneticPr fontId="2" type="noConversion"/>
  </si>
  <si>
    <t>계</t>
    <phoneticPr fontId="2" type="noConversion"/>
  </si>
  <si>
    <t>대외협력</t>
    <phoneticPr fontId="2" type="noConversion"/>
  </si>
  <si>
    <t>회</t>
    <phoneticPr fontId="2" type="noConversion"/>
  </si>
  <si>
    <t>=</t>
    <phoneticPr fontId="2" type="noConversion"/>
  </si>
  <si>
    <t>원</t>
    <phoneticPr fontId="2" type="noConversion"/>
  </si>
  <si>
    <t>자문위원회</t>
    <phoneticPr fontId="2" type="noConversion"/>
  </si>
  <si>
    <t>회</t>
    <phoneticPr fontId="2" type="noConversion"/>
  </si>
  <si>
    <t>리플렛</t>
    <phoneticPr fontId="2" type="noConversion"/>
  </si>
  <si>
    <t>부</t>
    <phoneticPr fontId="2" type="noConversion"/>
  </si>
  <si>
    <t>올리브의향기 발간</t>
    <phoneticPr fontId="2" type="noConversion"/>
  </si>
  <si>
    <t>행정봉사단 운영</t>
    <phoneticPr fontId="2" type="noConversion"/>
  </si>
  <si>
    <t>=</t>
    <phoneticPr fontId="2" type="noConversion"/>
  </si>
  <si>
    <t>나눔잔치</t>
    <phoneticPr fontId="2" type="noConversion"/>
  </si>
  <si>
    <t>건</t>
    <phoneticPr fontId="2" type="noConversion"/>
  </si>
  <si>
    <t>본당 자원봉사 
실태조사 및 
백서 제작</t>
    <phoneticPr fontId="2" type="noConversion"/>
  </si>
  <si>
    <t>계</t>
    <phoneticPr fontId="2" type="noConversion"/>
  </si>
  <si>
    <t>설문지 제작</t>
    <phoneticPr fontId="2" type="noConversion"/>
  </si>
  <si>
    <t>건</t>
    <phoneticPr fontId="2" type="noConversion"/>
  </si>
  <si>
    <t>연구용역비</t>
    <phoneticPr fontId="2" type="noConversion"/>
  </si>
  <si>
    <t>인쇄 및 발송비</t>
    <phoneticPr fontId="2" type="noConversion"/>
  </si>
  <si>
    <t>사업비</t>
    <phoneticPr fontId="2" type="noConversion"/>
  </si>
  <si>
    <t>자원봉사</t>
    <phoneticPr fontId="2" type="noConversion"/>
  </si>
  <si>
    <t>자원봉사교육 
및 인력양성</t>
    <phoneticPr fontId="2" type="noConversion"/>
  </si>
  <si>
    <t>원</t>
    <phoneticPr fontId="2" type="noConversion"/>
  </si>
  <si>
    <t>센터</t>
    <phoneticPr fontId="2" type="noConversion"/>
  </si>
  <si>
    <t>기본교육</t>
  </si>
  <si>
    <t>자료집제작</t>
    <phoneticPr fontId="2" type="noConversion"/>
  </si>
  <si>
    <t>부</t>
    <phoneticPr fontId="2" type="noConversion"/>
  </si>
  <si>
    <t>자원봉사재교육</t>
    <phoneticPr fontId="2" type="noConversion"/>
  </si>
  <si>
    <t>자원봉사 실무자교육</t>
    <phoneticPr fontId="2" type="noConversion"/>
  </si>
  <si>
    <t>본당 자원봉사 리더 교육</t>
    <phoneticPr fontId="2" type="noConversion"/>
  </si>
  <si>
    <t>=</t>
    <phoneticPr fontId="2" type="noConversion"/>
  </si>
  <si>
    <t>강사역량강화교육</t>
    <phoneticPr fontId="2" type="noConversion"/>
  </si>
  <si>
    <t>강사모임 및 관리</t>
    <phoneticPr fontId="2" type="noConversion"/>
  </si>
  <si>
    <t>강사자격심의</t>
    <phoneticPr fontId="2" type="noConversion"/>
  </si>
  <si>
    <t>자원봉사
통합
네트워크
시스템</t>
    <phoneticPr fontId="2" type="noConversion"/>
  </si>
  <si>
    <t>등록요원양성교육</t>
    <phoneticPr fontId="2" type="noConversion"/>
  </si>
  <si>
    <t>유지보수비</t>
    <phoneticPr fontId="2" type="noConversion"/>
  </si>
  <si>
    <t>SMS 사용</t>
    <phoneticPr fontId="2" type="noConversion"/>
  </si>
  <si>
    <t>월</t>
  </si>
  <si>
    <t>재해복구</t>
    <phoneticPr fontId="2" type="noConversion"/>
  </si>
  <si>
    <t>재해복구비</t>
    <phoneticPr fontId="2" type="noConversion"/>
  </si>
  <si>
    <t>잡지출</t>
    <phoneticPr fontId="2" type="noConversion"/>
  </si>
  <si>
    <t>합계</t>
    <phoneticPr fontId="2" type="noConversion"/>
  </si>
  <si>
    <t>기타 소송경비 등</t>
    <phoneticPr fontId="2" type="noConversion"/>
  </si>
  <si>
    <t>송파위더스 장애인고용장려금</t>
    <phoneticPr fontId="2" type="noConversion"/>
  </si>
  <si>
    <t>상환금</t>
    <phoneticPr fontId="2" type="noConversion"/>
  </si>
  <si>
    <t>부채상환금</t>
    <phoneticPr fontId="2" type="noConversion"/>
  </si>
  <si>
    <t>원금상환금</t>
    <phoneticPr fontId="2" type="noConversion"/>
  </si>
  <si>
    <t>양초사업 대출 원금 상환</t>
    <phoneticPr fontId="2" type="noConversion"/>
  </si>
  <si>
    <t xml:space="preserve"> 이자지급금</t>
    <phoneticPr fontId="2" type="noConversion"/>
  </si>
  <si>
    <t>양초사업 대출 이자 등</t>
    <phoneticPr fontId="2" type="noConversion"/>
  </si>
  <si>
    <t>전출금</t>
    <phoneticPr fontId="2" type="noConversion"/>
  </si>
  <si>
    <t>전출금</t>
    <phoneticPr fontId="2" type="noConversion"/>
  </si>
  <si>
    <t>상계종합복지관</t>
    <phoneticPr fontId="2" type="noConversion"/>
  </si>
  <si>
    <t>시설전출금+시설전출후원금</t>
    <phoneticPr fontId="2" type="noConversion"/>
  </si>
  <si>
    <t>유락종합복지관</t>
    <phoneticPr fontId="2" type="noConversion"/>
  </si>
  <si>
    <t>신당종합복지관</t>
    <phoneticPr fontId="2" type="noConversion"/>
  </si>
  <si>
    <t>동작종합복지관</t>
    <phoneticPr fontId="2" type="noConversion"/>
  </si>
  <si>
    <t>등촌7종합복지관 외</t>
    <phoneticPr fontId="2" type="noConversion"/>
  </si>
  <si>
    <t>한빛종합복지관</t>
    <phoneticPr fontId="2" type="noConversion"/>
  </si>
  <si>
    <t>중곡종합복지관</t>
    <phoneticPr fontId="2" type="noConversion"/>
  </si>
  <si>
    <t>성동노인복지관</t>
    <phoneticPr fontId="2" type="noConversion"/>
  </si>
  <si>
    <t xml:space="preserve">동작노인복지관 </t>
    <phoneticPr fontId="2" type="noConversion"/>
  </si>
  <si>
    <t>시설전출금</t>
    <phoneticPr fontId="2" type="noConversion"/>
  </si>
  <si>
    <t>금천노인복지관</t>
    <phoneticPr fontId="2" type="noConversion"/>
  </si>
  <si>
    <t>시설전출금</t>
    <phoneticPr fontId="2" type="noConversion"/>
  </si>
  <si>
    <t>양천어르신요양센터</t>
    <phoneticPr fontId="2" type="noConversion"/>
  </si>
  <si>
    <t>시설전출금+장애인고용장려금</t>
    <phoneticPr fontId="2" type="noConversion"/>
  </si>
  <si>
    <t>서초노인요양센터</t>
    <phoneticPr fontId="2" type="noConversion"/>
  </si>
  <si>
    <t>고덕양로원</t>
    <phoneticPr fontId="2" type="noConversion"/>
  </si>
  <si>
    <t>서초한우리 외 부설</t>
    <phoneticPr fontId="2" type="noConversion"/>
  </si>
  <si>
    <t>중구장애인복지관</t>
    <phoneticPr fontId="2" type="noConversion"/>
  </si>
  <si>
    <t>평화로운 집</t>
    <phoneticPr fontId="2" type="noConversion"/>
  </si>
  <si>
    <t>은혜로운 집</t>
    <phoneticPr fontId="2" type="noConversion"/>
  </si>
  <si>
    <t>은평의 마을</t>
    <phoneticPr fontId="2" type="noConversion"/>
  </si>
  <si>
    <t>강서직업재활센터</t>
    <phoneticPr fontId="2" type="noConversion"/>
  </si>
  <si>
    <t>시설전출금+장애인고용장려금+시설전출후원금</t>
    <phoneticPr fontId="2" type="noConversion"/>
  </si>
  <si>
    <t>x</t>
    <phoneticPr fontId="2" type="noConversion"/>
  </si>
  <si>
    <t>사랑손보호작업</t>
    <phoneticPr fontId="2" type="noConversion"/>
  </si>
  <si>
    <t>서울시여성보호센터</t>
    <phoneticPr fontId="2" type="noConversion"/>
  </si>
  <si>
    <t>강서푸드마켓</t>
    <phoneticPr fontId="2" type="noConversion"/>
  </si>
  <si>
    <t>성북푸드마켓</t>
    <phoneticPr fontId="2" type="noConversion"/>
  </si>
  <si>
    <t>구로구육아종합지원센터</t>
    <phoneticPr fontId="2" type="noConversion"/>
  </si>
  <si>
    <t>다산어린이집</t>
    <phoneticPr fontId="2" type="noConversion"/>
  </si>
  <si>
    <t>도곡어린이집</t>
    <phoneticPr fontId="2" type="noConversion"/>
  </si>
  <si>
    <t>동화나라어린이집</t>
    <phoneticPr fontId="2" type="noConversion"/>
  </si>
  <si>
    <t>마천어린이집</t>
    <phoneticPr fontId="2" type="noConversion"/>
  </si>
  <si>
    <t>목동어린이집</t>
    <phoneticPr fontId="2" type="noConversion"/>
  </si>
  <si>
    <t>방배어린이집</t>
    <phoneticPr fontId="2" type="noConversion"/>
  </si>
  <si>
    <t>베들레헴어린이집</t>
    <phoneticPr fontId="2" type="noConversion"/>
  </si>
  <si>
    <t>보미나어린이집</t>
    <phoneticPr fontId="2" type="noConversion"/>
  </si>
  <si>
    <t>상일어린이집</t>
    <phoneticPr fontId="2" type="noConversion"/>
  </si>
  <si>
    <t>쌍문2동어린이집</t>
    <phoneticPr fontId="2" type="noConversion"/>
  </si>
  <si>
    <t>서초3단지어린이집</t>
    <phoneticPr fontId="2" type="noConversion"/>
  </si>
  <si>
    <t>성모(논현)어린이집</t>
    <phoneticPr fontId="2" type="noConversion"/>
  </si>
  <si>
    <t>성모(등촌)어린이집</t>
    <phoneticPr fontId="2" type="noConversion"/>
  </si>
  <si>
    <t>송화어린이집</t>
    <phoneticPr fontId="2" type="noConversion"/>
  </si>
  <si>
    <t>약수어린이집</t>
    <phoneticPr fontId="2" type="noConversion"/>
  </si>
  <si>
    <t>예다움보듬이나눔이어린이집</t>
    <phoneticPr fontId="2" type="noConversion"/>
  </si>
  <si>
    <t>원당어린이집</t>
    <phoneticPr fontId="2" type="noConversion"/>
  </si>
  <si>
    <t>한빛어린이집</t>
    <phoneticPr fontId="2" type="noConversion"/>
  </si>
  <si>
    <t>해그린어린이집</t>
    <phoneticPr fontId="2" type="noConversion"/>
  </si>
  <si>
    <t>해든어린이집</t>
    <phoneticPr fontId="2" type="noConversion"/>
  </si>
  <si>
    <t>해뜨락어린이집</t>
    <phoneticPr fontId="2" type="noConversion"/>
  </si>
  <si>
    <t>연화어린이집</t>
    <phoneticPr fontId="2" type="noConversion"/>
  </si>
  <si>
    <t>은도어린이집</t>
    <phoneticPr fontId="2" type="noConversion"/>
  </si>
  <si>
    <t>화해의집 쉼자리</t>
    <phoneticPr fontId="2" type="noConversion"/>
  </si>
  <si>
    <t>나자로보호작업장</t>
    <phoneticPr fontId="2" type="noConversion"/>
  </si>
  <si>
    <t>장애인고용장려금+시설전출후원금</t>
    <phoneticPr fontId="2" type="noConversion"/>
  </si>
  <si>
    <t>바오로교실작업장</t>
    <phoneticPr fontId="2" type="noConversion"/>
  </si>
  <si>
    <t>비둘기보호작업장</t>
    <phoneticPr fontId="2" type="noConversion"/>
  </si>
  <si>
    <t>성지보호작업장</t>
    <phoneticPr fontId="2" type="noConversion"/>
  </si>
  <si>
    <t>혜화동데이케어</t>
    <phoneticPr fontId="2" type="noConversion"/>
  </si>
  <si>
    <t>성가정노인복지관</t>
    <phoneticPr fontId="2" type="noConversion"/>
  </si>
  <si>
    <t>동선동청소년공부방</t>
    <phoneticPr fontId="2" type="noConversion"/>
  </si>
  <si>
    <t>희망의집</t>
    <phoneticPr fontId="2" type="noConversion"/>
  </si>
  <si>
    <t>소규모시설전출금</t>
    <phoneticPr fontId="2" type="noConversion"/>
  </si>
  <si>
    <t>2019년부터 시행 예정</t>
    <phoneticPr fontId="2" type="noConversion"/>
  </si>
  <si>
    <t>시설전출금
(후원금)</t>
    <phoneticPr fontId="2" type="noConversion"/>
  </si>
  <si>
    <t>개별 시설전출 후원금으로 분리</t>
    <phoneticPr fontId="2" type="noConversion"/>
  </si>
  <si>
    <t>햇빛자리</t>
    <phoneticPr fontId="2" type="noConversion"/>
  </si>
  <si>
    <t>시설전출후원금</t>
    <phoneticPr fontId="2" type="noConversion"/>
  </si>
  <si>
    <t>신망애의집</t>
    <phoneticPr fontId="2" type="noConversion"/>
  </si>
  <si>
    <t>꿈손단기보호시설</t>
    <phoneticPr fontId="2" type="noConversion"/>
  </si>
  <si>
    <t>바오로교실주간보호</t>
    <phoneticPr fontId="2" type="noConversion"/>
  </si>
  <si>
    <t>헬렌켈러단기거주</t>
    <phoneticPr fontId="2" type="noConversion"/>
  </si>
  <si>
    <t>로사리아공동생활</t>
    <phoneticPr fontId="2" type="noConversion"/>
  </si>
  <si>
    <t>루치아공동생활</t>
    <phoneticPr fontId="2" type="noConversion"/>
  </si>
  <si>
    <t>마로니에공동생활</t>
    <phoneticPr fontId="2" type="noConversion"/>
  </si>
  <si>
    <t>다사랑공동생활</t>
    <phoneticPr fontId="2" type="noConversion"/>
  </si>
  <si>
    <t>다향공동생활</t>
    <phoneticPr fontId="2" type="noConversion"/>
  </si>
  <si>
    <t>구파발성당데이</t>
    <phoneticPr fontId="2" type="noConversion"/>
  </si>
  <si>
    <t>천호동성당데이</t>
    <phoneticPr fontId="2" type="noConversion"/>
  </si>
  <si>
    <t>고척동성당데이</t>
    <phoneticPr fontId="2" type="noConversion"/>
  </si>
  <si>
    <t>시흥4동성당데이</t>
    <phoneticPr fontId="2" type="noConversion"/>
  </si>
  <si>
    <t>금호동성당데이</t>
    <phoneticPr fontId="2" type="noConversion"/>
  </si>
  <si>
    <t>행운동성당데이</t>
    <phoneticPr fontId="2" type="noConversion"/>
  </si>
  <si>
    <t>마음자리</t>
    <phoneticPr fontId="2" type="noConversion"/>
  </si>
  <si>
    <t>샛별지역아동센터</t>
    <phoneticPr fontId="2" type="noConversion"/>
  </si>
  <si>
    <t>우리집공동체</t>
    <phoneticPr fontId="2" type="noConversion"/>
  </si>
  <si>
    <t>예비비</t>
    <phoneticPr fontId="2" type="noConversion"/>
  </si>
  <si>
    <t>및 기타</t>
    <phoneticPr fontId="2" type="noConversion"/>
  </si>
  <si>
    <t>예비비
및 기타</t>
    <phoneticPr fontId="2" type="noConversion"/>
  </si>
  <si>
    <t>예비비</t>
    <phoneticPr fontId="2" type="noConversion"/>
  </si>
  <si>
    <t>비지정후원 예비비</t>
    <phoneticPr fontId="2" type="noConversion"/>
  </si>
  <si>
    <t>지정후원예비비</t>
    <phoneticPr fontId="2" type="noConversion"/>
  </si>
  <si>
    <t>기타예비비</t>
    <phoneticPr fontId="2" type="noConversion"/>
  </si>
  <si>
    <t>반환금</t>
    <phoneticPr fontId="2" type="noConversion"/>
  </si>
  <si>
    <t>한마음지원금 반환</t>
    <phoneticPr fontId="2" type="noConversion"/>
  </si>
  <si>
    <t>이월금</t>
    <phoneticPr fontId="2" type="noConversion"/>
  </si>
  <si>
    <t>차년도이월금</t>
    <phoneticPr fontId="2" type="noConversion"/>
  </si>
  <si>
    <t>이월금(비지정후원)</t>
  </si>
  <si>
    <t>비지정후원금</t>
    <phoneticPr fontId="2" type="noConversion"/>
  </si>
  <si>
    <t>이월금(지정후원)</t>
  </si>
  <si>
    <t>지정후원금</t>
    <phoneticPr fontId="2" type="noConversion"/>
  </si>
  <si>
    <t>이월금(자부담)</t>
  </si>
  <si>
    <t>이월금(기본재산)</t>
  </si>
  <si>
    <t xml:space="preserve">기본재산 </t>
    <phoneticPr fontId="2" type="noConversion"/>
  </si>
  <si>
    <t>이월금(보조금)</t>
  </si>
  <si>
    <t xml:space="preserve">보조금 </t>
    <phoneticPr fontId="2" type="noConversion"/>
  </si>
  <si>
    <r>
      <t>산출내역</t>
    </r>
    <r>
      <rPr>
        <sz val="10"/>
        <rFont val="맑은 고딕"/>
        <family val="3"/>
        <charset val="129"/>
      </rPr>
      <t>(단위: 원)</t>
    </r>
    <phoneticPr fontId="2" type="noConversion"/>
  </si>
  <si>
    <r>
      <t>산출내역</t>
    </r>
    <r>
      <rPr>
        <sz val="11"/>
        <rFont val="맑은 고딕"/>
        <family val="3"/>
        <charset val="129"/>
      </rPr>
      <t xml:space="preserve">(단위: 원) </t>
    </r>
    <phoneticPr fontId="2" type="noConversion"/>
  </si>
  <si>
    <t>장애인고용장려금+시설전출후원금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</si>
</sst>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76" formatCode="#,##0.0"/>
    <numFmt numFmtId="177" formatCode="#,##0_ "/>
    <numFmt numFmtId="178" formatCode="#,##0.0_ "/>
    <numFmt numFmtId="179" formatCode="0.0%"/>
    <numFmt numFmtId="180" formatCode="0.000%"/>
    <numFmt numFmtId="181" formatCode="0.0_ "/>
    <numFmt numFmtId="182" formatCode="#,##0_);[Red]\(#,##0\)"/>
    <numFmt numFmtId="183" formatCode="0.0"/>
  </numFmts>
  <fonts count="2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2"/>
      <name val="맑은 고딕"/>
      <family val="3"/>
      <charset val="129"/>
    </font>
    <font>
      <sz val="9"/>
      <color indexed="8"/>
      <name val="굴림체"/>
      <family val="3"/>
      <charset val="129"/>
    </font>
    <font>
      <b/>
      <sz val="18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4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b/>
      <sz val="12"/>
      <name val="맑은 고딕"/>
      <family val="3"/>
      <charset val="129"/>
    </font>
    <font>
      <sz val="10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10"/>
      <name val="굴림체"/>
      <family val="3"/>
      <charset val="129"/>
    </font>
    <font>
      <b/>
      <sz val="9"/>
      <name val="맑은 고딕"/>
      <family val="3"/>
      <charset val="129"/>
    </font>
    <font>
      <b/>
      <sz val="10"/>
      <name val="굴림체"/>
      <family val="3"/>
      <charset val="129"/>
    </font>
    <font>
      <b/>
      <sz val="14"/>
      <name val="굴림체"/>
      <family val="3"/>
      <charset val="129"/>
    </font>
    <font>
      <b/>
      <sz val="7.5"/>
      <name val="굴림체"/>
      <family val="3"/>
      <charset val="129"/>
    </font>
    <font>
      <b/>
      <sz val="8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</fills>
  <borders count="8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/>
    <xf numFmtId="9" fontId="3" fillId="0" borderId="0" applyFont="0" applyFill="0" applyBorder="0" applyAlignment="0" applyProtection="0">
      <alignment vertical="center"/>
    </xf>
  </cellStyleXfs>
  <cellXfs count="740">
    <xf numFmtId="0" fontId="0" fillId="0" borderId="0" xfId="0">
      <alignment vertical="center"/>
    </xf>
    <xf numFmtId="0" fontId="7" fillId="0" borderId="0" xfId="0" applyFont="1">
      <alignment vertical="center"/>
    </xf>
    <xf numFmtId="41" fontId="8" fillId="0" borderId="0" xfId="1" applyFont="1">
      <alignment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3" fontId="10" fillId="0" borderId="0" xfId="1" applyNumberFormat="1" applyFont="1" applyFill="1" applyBorder="1" applyAlignment="1">
      <alignment horizontal="right" vertical="center"/>
    </xf>
    <xf numFmtId="176" fontId="10" fillId="0" borderId="0" xfId="0" applyNumberFormat="1" applyFont="1" applyBorder="1" applyAlignment="1">
      <alignment horizontal="right" vertical="center"/>
    </xf>
    <xf numFmtId="3" fontId="11" fillId="0" borderId="12" xfId="1" applyNumberFormat="1" applyFont="1" applyFill="1" applyBorder="1" applyAlignment="1">
      <alignment horizontal="center" vertical="center"/>
    </xf>
    <xf numFmtId="176" fontId="11" fillId="0" borderId="12" xfId="1" applyNumberFormat="1" applyFont="1" applyBorder="1" applyAlignment="1">
      <alignment horizontal="center" vertical="center"/>
    </xf>
    <xf numFmtId="41" fontId="11" fillId="0" borderId="15" xfId="1" applyFont="1" applyBorder="1" applyAlignment="1">
      <alignment horizontal="center" vertical="center"/>
    </xf>
    <xf numFmtId="41" fontId="11" fillId="0" borderId="18" xfId="2" applyFont="1" applyFill="1" applyBorder="1" applyAlignment="1">
      <alignment horizontal="center" vertical="center"/>
    </xf>
    <xf numFmtId="3" fontId="11" fillId="0" borderId="16" xfId="1" applyNumberFormat="1" applyFont="1" applyFill="1" applyBorder="1" applyAlignment="1">
      <alignment horizontal="right" vertical="center"/>
    </xf>
    <xf numFmtId="176" fontId="11" fillId="0" borderId="16" xfId="1" applyNumberFormat="1" applyFont="1" applyBorder="1" applyAlignment="1">
      <alignment horizontal="right" vertical="center"/>
    </xf>
    <xf numFmtId="0" fontId="13" fillId="0" borderId="19" xfId="0" applyFont="1" applyBorder="1">
      <alignment vertical="center"/>
    </xf>
    <xf numFmtId="0" fontId="13" fillId="0" borderId="19" xfId="0" applyFont="1" applyBorder="1" applyAlignment="1">
      <alignment horizontal="center" vertical="center"/>
    </xf>
    <xf numFmtId="41" fontId="14" fillId="0" borderId="19" xfId="0" applyNumberFormat="1" applyFont="1" applyBorder="1">
      <alignment vertical="center"/>
    </xf>
    <xf numFmtId="0" fontId="14" fillId="0" borderId="20" xfId="0" applyFont="1" applyBorder="1">
      <alignment vertical="center"/>
    </xf>
    <xf numFmtId="0" fontId="15" fillId="0" borderId="21" xfId="0" applyFont="1" applyBorder="1" applyAlignment="1">
      <alignment horizontal="center" vertical="center"/>
    </xf>
    <xf numFmtId="41" fontId="16" fillId="0" borderId="24" xfId="1" applyFont="1" applyBorder="1" applyAlignment="1">
      <alignment horizontal="center" vertical="center"/>
    </xf>
    <xf numFmtId="41" fontId="16" fillId="0" borderId="21" xfId="1" applyFont="1" applyFill="1" applyBorder="1" applyAlignment="1">
      <alignment horizontal="center" vertical="center"/>
    </xf>
    <xf numFmtId="41" fontId="16" fillId="0" borderId="25" xfId="2" applyFont="1" applyFill="1" applyBorder="1" applyAlignment="1">
      <alignment horizontal="center" vertical="center"/>
    </xf>
    <xf numFmtId="3" fontId="16" fillId="0" borderId="26" xfId="1" applyNumberFormat="1" applyFont="1" applyFill="1" applyBorder="1" applyAlignment="1">
      <alignment horizontal="right" vertical="center"/>
    </xf>
    <xf numFmtId="176" fontId="16" fillId="0" borderId="26" xfId="1" applyNumberFormat="1" applyFont="1" applyBorder="1" applyAlignment="1">
      <alignment horizontal="right" vertical="center"/>
    </xf>
    <xf numFmtId="0" fontId="13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41" fontId="14" fillId="0" borderId="0" xfId="0" applyNumberFormat="1" applyFont="1" applyBorder="1">
      <alignment vertical="center"/>
    </xf>
    <xf numFmtId="0" fontId="14" fillId="0" borderId="27" xfId="0" applyFont="1" applyBorder="1">
      <alignment vertical="center"/>
    </xf>
    <xf numFmtId="0" fontId="12" fillId="0" borderId="0" xfId="0" applyFont="1">
      <alignment vertical="center"/>
    </xf>
    <xf numFmtId="41" fontId="12" fillId="0" borderId="0" xfId="1" applyFont="1">
      <alignment vertical="center"/>
    </xf>
    <xf numFmtId="0" fontId="15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41" fontId="8" fillId="0" borderId="31" xfId="1" applyNumberFormat="1" applyFont="1" applyFill="1" applyBorder="1" applyAlignment="1">
      <alignment horizontal="center" vertical="center"/>
    </xf>
    <xf numFmtId="41" fontId="4" fillId="0" borderId="32" xfId="2" applyFont="1" applyFill="1" applyBorder="1" applyAlignment="1">
      <alignment horizontal="center" vertical="center"/>
    </xf>
    <xf numFmtId="3" fontId="8" fillId="0" borderId="33" xfId="1" applyNumberFormat="1" applyFont="1" applyFill="1" applyBorder="1" applyAlignment="1">
      <alignment horizontal="right" vertical="center"/>
    </xf>
    <xf numFmtId="0" fontId="13" fillId="0" borderId="34" xfId="0" applyFont="1" applyBorder="1">
      <alignment vertical="center"/>
    </xf>
    <xf numFmtId="0" fontId="13" fillId="0" borderId="34" xfId="0" applyFont="1" applyBorder="1" applyAlignment="1">
      <alignment horizontal="center" vertical="center"/>
    </xf>
    <xf numFmtId="41" fontId="12" fillId="0" borderId="34" xfId="0" applyNumberFormat="1" applyFont="1" applyBorder="1">
      <alignment vertical="center"/>
    </xf>
    <xf numFmtId="0" fontId="12" fillId="0" borderId="35" xfId="0" applyFont="1" applyBorder="1">
      <alignment vertical="center"/>
    </xf>
    <xf numFmtId="0" fontId="7" fillId="0" borderId="21" xfId="0" applyFont="1" applyBorder="1" applyAlignment="1">
      <alignment horizontal="center" vertical="center"/>
    </xf>
    <xf numFmtId="41" fontId="8" fillId="0" borderId="32" xfId="2" applyFont="1" applyFill="1" applyBorder="1" applyAlignment="1">
      <alignment horizontal="center" vertical="center"/>
    </xf>
    <xf numFmtId="0" fontId="12" fillId="0" borderId="29" xfId="0" applyFont="1" applyBorder="1" applyAlignment="1">
      <alignment horizontal="left" vertical="center"/>
    </xf>
    <xf numFmtId="41" fontId="12" fillId="0" borderId="34" xfId="1" applyFont="1" applyBorder="1">
      <alignment vertical="center"/>
    </xf>
    <xf numFmtId="0" fontId="7" fillId="0" borderId="22" xfId="0" applyFont="1" applyBorder="1" applyAlignment="1">
      <alignment horizontal="center" vertical="center"/>
    </xf>
    <xf numFmtId="41" fontId="8" fillId="0" borderId="25" xfId="2" applyFont="1" applyFill="1" applyBorder="1" applyAlignment="1">
      <alignment horizontal="center" vertical="center"/>
    </xf>
    <xf numFmtId="0" fontId="12" fillId="0" borderId="23" xfId="0" applyFont="1" applyBorder="1" applyAlignment="1">
      <alignment horizontal="left" vertical="center"/>
    </xf>
    <xf numFmtId="41" fontId="12" fillId="0" borderId="0" xfId="2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41" fontId="12" fillId="0" borderId="0" xfId="2" applyFont="1" applyBorder="1">
      <alignment vertical="center"/>
    </xf>
    <xf numFmtId="0" fontId="12" fillId="0" borderId="27" xfId="0" applyFont="1" applyBorder="1">
      <alignment vertical="center"/>
    </xf>
    <xf numFmtId="41" fontId="8" fillId="0" borderId="38" xfId="2" applyFont="1" applyFill="1" applyBorder="1" applyAlignment="1">
      <alignment horizontal="center" vertical="center"/>
    </xf>
    <xf numFmtId="41" fontId="12" fillId="0" borderId="0" xfId="1" applyFont="1" applyBorder="1">
      <alignment vertical="center"/>
    </xf>
    <xf numFmtId="0" fontId="12" fillId="0" borderId="0" xfId="0" quotePrefix="1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41" fontId="12" fillId="0" borderId="34" xfId="2" applyFont="1" applyBorder="1">
      <alignment vertical="center"/>
    </xf>
    <xf numFmtId="0" fontId="15" fillId="0" borderId="31" xfId="0" applyFont="1" applyBorder="1" applyAlignment="1">
      <alignment horizontal="center" vertical="center"/>
    </xf>
    <xf numFmtId="41" fontId="16" fillId="0" borderId="45" xfId="1" applyFont="1" applyBorder="1" applyAlignment="1">
      <alignment horizontal="center" vertical="center"/>
    </xf>
    <xf numFmtId="41" fontId="16" fillId="0" borderId="46" xfId="1" applyFont="1" applyFill="1" applyBorder="1" applyAlignment="1">
      <alignment horizontal="center" vertical="center"/>
    </xf>
    <xf numFmtId="41" fontId="16" fillId="0" borderId="33" xfId="2" applyFont="1" applyFill="1" applyBorder="1" applyAlignment="1">
      <alignment horizontal="center" vertical="center"/>
    </xf>
    <xf numFmtId="3" fontId="16" fillId="0" borderId="33" xfId="1" applyNumberFormat="1" applyFont="1" applyFill="1" applyBorder="1" applyAlignment="1">
      <alignment horizontal="right" vertical="center"/>
    </xf>
    <xf numFmtId="176" fontId="16" fillId="0" borderId="33" xfId="1" applyNumberFormat="1" applyFont="1" applyBorder="1" applyAlignment="1">
      <alignment horizontal="right" vertical="center"/>
    </xf>
    <xf numFmtId="0" fontId="12" fillId="0" borderId="47" xfId="0" applyFont="1" applyBorder="1">
      <alignment vertical="center"/>
    </xf>
    <xf numFmtId="41" fontId="14" fillId="0" borderId="47" xfId="0" applyNumberFormat="1" applyFont="1" applyBorder="1">
      <alignment vertical="center"/>
    </xf>
    <xf numFmtId="0" fontId="14" fillId="0" borderId="48" xfId="0" applyFont="1" applyBorder="1">
      <alignment vertical="center"/>
    </xf>
    <xf numFmtId="0" fontId="4" fillId="0" borderId="23" xfId="0" applyFont="1" applyBorder="1" applyAlignment="1">
      <alignment horizontal="center" vertical="center"/>
    </xf>
    <xf numFmtId="41" fontId="8" fillId="0" borderId="41" xfId="1" applyFont="1" applyBorder="1" applyAlignment="1">
      <alignment horizontal="center" vertical="center"/>
    </xf>
    <xf numFmtId="41" fontId="4" fillId="0" borderId="42" xfId="2" applyFont="1" applyFill="1" applyBorder="1" applyAlignment="1">
      <alignment horizontal="center" vertical="center"/>
    </xf>
    <xf numFmtId="0" fontId="12" fillId="0" borderId="0" xfId="0" applyFont="1" applyBorder="1">
      <alignment vertical="center"/>
    </xf>
    <xf numFmtId="41" fontId="12" fillId="0" borderId="0" xfId="0" applyNumberFormat="1" applyFont="1" applyBorder="1">
      <alignment vertical="center"/>
    </xf>
    <xf numFmtId="0" fontId="12" fillId="0" borderId="34" xfId="0" applyFont="1" applyBorder="1">
      <alignment vertical="center"/>
    </xf>
    <xf numFmtId="41" fontId="14" fillId="0" borderId="34" xfId="0" applyNumberFormat="1" applyFont="1" applyBorder="1" applyAlignment="1">
      <alignment vertical="center"/>
    </xf>
    <xf numFmtId="0" fontId="12" fillId="0" borderId="23" xfId="0" applyFont="1" applyFill="1" applyBorder="1" applyAlignment="1">
      <alignment horizontal="left" vertical="center" shrinkToFit="1"/>
    </xf>
    <xf numFmtId="41" fontId="12" fillId="0" borderId="0" xfId="2" applyFont="1" applyFill="1" applyBorder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2" fillId="0" borderId="0" xfId="0" quotePrefix="1" applyFont="1" applyFill="1" applyBorder="1" applyAlignment="1">
      <alignment horizontal="center" vertical="center"/>
    </xf>
    <xf numFmtId="0" fontId="12" fillId="0" borderId="27" xfId="0" applyFont="1" applyFill="1" applyBorder="1">
      <alignment vertical="center"/>
    </xf>
    <xf numFmtId="41" fontId="8" fillId="0" borderId="24" xfId="1" applyFont="1" applyBorder="1" applyAlignment="1">
      <alignment vertical="center"/>
    </xf>
    <xf numFmtId="41" fontId="8" fillId="0" borderId="21" xfId="1" applyFont="1" applyFill="1" applyBorder="1" applyAlignment="1">
      <alignment vertical="center"/>
    </xf>
    <xf numFmtId="3" fontId="8" fillId="0" borderId="22" xfId="1" applyNumberFormat="1" applyFont="1" applyFill="1" applyBorder="1" applyAlignment="1">
      <alignment vertical="center"/>
    </xf>
    <xf numFmtId="176" fontId="8" fillId="0" borderId="22" xfId="1" applyNumberFormat="1" applyFont="1" applyBorder="1" applyAlignment="1">
      <alignment vertical="center"/>
    </xf>
    <xf numFmtId="41" fontId="8" fillId="0" borderId="40" xfId="1" applyFont="1" applyBorder="1" applyAlignment="1">
      <alignment vertical="center"/>
    </xf>
    <xf numFmtId="41" fontId="8" fillId="0" borderId="41" xfId="1" applyFont="1" applyFill="1" applyBorder="1" applyAlignment="1">
      <alignment vertical="center"/>
    </xf>
    <xf numFmtId="3" fontId="8" fillId="0" borderId="42" xfId="1" applyNumberFormat="1" applyFont="1" applyFill="1" applyBorder="1" applyAlignment="1">
      <alignment vertical="center"/>
    </xf>
    <xf numFmtId="176" fontId="8" fillId="0" borderId="42" xfId="1" applyNumberFormat="1" applyFont="1" applyBorder="1" applyAlignment="1">
      <alignment vertical="center"/>
    </xf>
    <xf numFmtId="41" fontId="16" fillId="0" borderId="49" xfId="2" applyFont="1" applyFill="1" applyBorder="1" applyAlignment="1">
      <alignment horizontal="center" vertical="center"/>
    </xf>
    <xf numFmtId="0" fontId="13" fillId="0" borderId="47" xfId="0" applyFont="1" applyBorder="1">
      <alignment vertical="center"/>
    </xf>
    <xf numFmtId="0" fontId="13" fillId="0" borderId="47" xfId="0" applyFont="1" applyBorder="1" applyAlignment="1">
      <alignment horizontal="center" vertical="center"/>
    </xf>
    <xf numFmtId="41" fontId="18" fillId="0" borderId="47" xfId="0" applyNumberFormat="1" applyFont="1" applyBorder="1">
      <alignment vertical="center"/>
    </xf>
    <xf numFmtId="0" fontId="18" fillId="0" borderId="48" xfId="0" applyFont="1" applyBorder="1">
      <alignment vertical="center"/>
    </xf>
    <xf numFmtId="0" fontId="4" fillId="0" borderId="44" xfId="0" applyFont="1" applyBorder="1" applyAlignment="1">
      <alignment horizontal="center" vertical="center"/>
    </xf>
    <xf numFmtId="41" fontId="8" fillId="0" borderId="46" xfId="1" applyFont="1" applyFill="1" applyBorder="1" applyAlignment="1">
      <alignment horizontal="center" vertical="center"/>
    </xf>
    <xf numFmtId="41" fontId="4" fillId="0" borderId="49" xfId="2" applyFont="1" applyFill="1" applyBorder="1" applyAlignment="1">
      <alignment horizontal="center" vertical="center"/>
    </xf>
    <xf numFmtId="0" fontId="13" fillId="0" borderId="44" xfId="0" applyFont="1" applyBorder="1">
      <alignment vertical="center"/>
    </xf>
    <xf numFmtId="41" fontId="13" fillId="0" borderId="47" xfId="0" applyNumberFormat="1" applyFont="1" applyBorder="1">
      <alignment vertical="center"/>
    </xf>
    <xf numFmtId="0" fontId="13" fillId="0" borderId="48" xfId="0" applyFont="1" applyBorder="1">
      <alignment vertical="center"/>
    </xf>
    <xf numFmtId="0" fontId="12" fillId="0" borderId="44" xfId="0" applyFont="1" applyBorder="1">
      <alignment vertical="center"/>
    </xf>
    <xf numFmtId="41" fontId="12" fillId="0" borderId="47" xfId="0" applyNumberFormat="1" applyFont="1" applyBorder="1">
      <alignment vertical="center"/>
    </xf>
    <xf numFmtId="0" fontId="12" fillId="0" borderId="48" xfId="0" applyFont="1" applyBorder="1">
      <alignment vertical="center"/>
    </xf>
    <xf numFmtId="0" fontId="12" fillId="0" borderId="23" xfId="0" applyFont="1" applyBorder="1">
      <alignment vertical="center"/>
    </xf>
    <xf numFmtId="41" fontId="16" fillId="0" borderId="49" xfId="1" applyFont="1" applyFill="1" applyBorder="1" applyAlignment="1">
      <alignment horizontal="center" vertical="center"/>
    </xf>
    <xf numFmtId="0" fontId="12" fillId="0" borderId="47" xfId="0" applyFont="1" applyFill="1" applyBorder="1">
      <alignment vertical="center"/>
    </xf>
    <xf numFmtId="0" fontId="12" fillId="0" borderId="47" xfId="0" applyFont="1" applyFill="1" applyBorder="1" applyAlignment="1">
      <alignment vertical="center"/>
    </xf>
    <xf numFmtId="0" fontId="12" fillId="0" borderId="47" xfId="0" applyFont="1" applyFill="1" applyBorder="1" applyAlignment="1">
      <alignment horizontal="center" vertical="center"/>
    </xf>
    <xf numFmtId="41" fontId="14" fillId="0" borderId="47" xfId="0" applyNumberFormat="1" applyFont="1" applyFill="1" applyBorder="1">
      <alignment vertical="center"/>
    </xf>
    <xf numFmtId="0" fontId="14" fillId="0" borderId="48" xfId="0" applyFont="1" applyFill="1" applyBorder="1">
      <alignment vertical="center"/>
    </xf>
    <xf numFmtId="0" fontId="7" fillId="0" borderId="23" xfId="0" applyFont="1" applyBorder="1" applyAlignment="1">
      <alignment horizontal="center" vertical="center"/>
    </xf>
    <xf numFmtId="0" fontId="12" fillId="0" borderId="0" xfId="0" applyFont="1" applyFill="1" applyBorder="1">
      <alignment vertical="center"/>
    </xf>
    <xf numFmtId="0" fontId="12" fillId="0" borderId="0" xfId="0" applyFont="1" applyFill="1" applyBorder="1" applyAlignment="1">
      <alignment vertical="center"/>
    </xf>
    <xf numFmtId="41" fontId="12" fillId="0" borderId="0" xfId="0" applyNumberFormat="1" applyFont="1" applyFill="1" applyBorder="1">
      <alignment vertical="center"/>
    </xf>
    <xf numFmtId="0" fontId="12" fillId="0" borderId="29" xfId="0" applyFont="1" applyFill="1" applyBorder="1" applyAlignment="1">
      <alignment horizontal="left" vertical="center"/>
    </xf>
    <xf numFmtId="41" fontId="12" fillId="0" borderId="34" xfId="1" applyFont="1" applyFill="1" applyBorder="1">
      <alignment vertical="center"/>
    </xf>
    <xf numFmtId="0" fontId="12" fillId="0" borderId="34" xfId="0" applyFont="1" applyFill="1" applyBorder="1" applyAlignment="1">
      <alignment vertical="center"/>
    </xf>
    <xf numFmtId="0" fontId="12" fillId="0" borderId="35" xfId="0" applyFont="1" applyFill="1" applyBorder="1">
      <alignment vertical="center"/>
    </xf>
    <xf numFmtId="0" fontId="12" fillId="0" borderId="23" xfId="0" applyFont="1" applyFill="1" applyBorder="1" applyAlignment="1">
      <alignment horizontal="left" vertical="center"/>
    </xf>
    <xf numFmtId="41" fontId="12" fillId="0" borderId="0" xfId="2" applyFont="1" applyFill="1" applyBorder="1" applyAlignment="1">
      <alignment horizontal="center" vertical="center"/>
    </xf>
    <xf numFmtId="0" fontId="14" fillId="0" borderId="29" xfId="0" applyFont="1" applyBorder="1" applyAlignment="1">
      <alignment horizontal="left" vertical="center"/>
    </xf>
    <xf numFmtId="41" fontId="12" fillId="0" borderId="0" xfId="2" applyFont="1">
      <alignment vertical="center"/>
    </xf>
    <xf numFmtId="41" fontId="12" fillId="0" borderId="0" xfId="1" applyFont="1" applyFill="1">
      <alignment vertical="center"/>
    </xf>
    <xf numFmtId="41" fontId="12" fillId="0" borderId="0" xfId="2" applyFont="1" applyFill="1">
      <alignment vertical="center"/>
    </xf>
    <xf numFmtId="0" fontId="12" fillId="0" borderId="0" xfId="0" applyFont="1" applyFill="1">
      <alignment vertical="center"/>
    </xf>
    <xf numFmtId="41" fontId="12" fillId="0" borderId="34" xfId="2" applyFont="1" applyFill="1" applyBorder="1">
      <alignment vertical="center"/>
    </xf>
    <xf numFmtId="0" fontId="12" fillId="0" borderId="0" xfId="0" applyFont="1" applyFill="1" applyBorder="1" applyAlignment="1">
      <alignment horizontal="left" vertical="center"/>
    </xf>
    <xf numFmtId="0" fontId="14" fillId="0" borderId="29" xfId="0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1" fontId="8" fillId="0" borderId="4" xfId="1" applyFont="1" applyBorder="1" applyAlignment="1">
      <alignment horizontal="center" vertical="center"/>
    </xf>
    <xf numFmtId="41" fontId="8" fillId="0" borderId="6" xfId="1" applyFont="1" applyFill="1" applyBorder="1" applyAlignment="1">
      <alignment horizontal="center" vertical="center"/>
    </xf>
    <xf numFmtId="41" fontId="8" fillId="0" borderId="2" xfId="2" applyFont="1" applyFill="1" applyBorder="1" applyAlignment="1">
      <alignment horizontal="center" vertical="center"/>
    </xf>
    <xf numFmtId="3" fontId="8" fillId="0" borderId="5" xfId="1" applyNumberFormat="1" applyFont="1" applyFill="1" applyBorder="1" applyAlignment="1">
      <alignment horizontal="right" vertical="center"/>
    </xf>
    <xf numFmtId="176" fontId="8" fillId="0" borderId="5" xfId="1" applyNumberFormat="1" applyFont="1" applyBorder="1" applyAlignment="1">
      <alignment horizontal="right" vertical="center"/>
    </xf>
    <xf numFmtId="0" fontId="12" fillId="0" borderId="53" xfId="0" applyFont="1" applyBorder="1">
      <alignment vertical="center"/>
    </xf>
    <xf numFmtId="0" fontId="12" fillId="0" borderId="53" xfId="0" applyFont="1" applyBorder="1" applyAlignment="1">
      <alignment horizontal="center" vertical="center"/>
    </xf>
    <xf numFmtId="41" fontId="12" fillId="0" borderId="53" xfId="0" applyNumberFormat="1" applyFont="1" applyBorder="1">
      <alignment vertical="center"/>
    </xf>
    <xf numFmtId="0" fontId="12" fillId="0" borderId="54" xfId="0" applyFont="1" applyBorder="1">
      <alignment vertical="center"/>
    </xf>
    <xf numFmtId="0" fontId="17" fillId="0" borderId="34" xfId="0" applyFont="1" applyFill="1" applyBorder="1" applyAlignment="1">
      <alignment horizontal="center" vertical="center"/>
    </xf>
    <xf numFmtId="0" fontId="14" fillId="0" borderId="27" xfId="0" applyFont="1" applyFill="1" applyBorder="1">
      <alignment vertical="center"/>
    </xf>
    <xf numFmtId="41" fontId="8" fillId="0" borderId="49" xfId="2" applyFont="1" applyFill="1" applyBorder="1" applyAlignment="1">
      <alignment horizontal="center" vertical="center"/>
    </xf>
    <xf numFmtId="41" fontId="8" fillId="0" borderId="0" xfId="2" applyFont="1">
      <alignment vertical="center"/>
    </xf>
    <xf numFmtId="0" fontId="12" fillId="0" borderId="50" xfId="0" applyFont="1" applyBorder="1" applyAlignment="1">
      <alignment horizontal="left" vertical="center"/>
    </xf>
    <xf numFmtId="41" fontId="12" fillId="0" borderId="43" xfId="1" applyFont="1" applyBorder="1">
      <alignment vertical="center"/>
    </xf>
    <xf numFmtId="0" fontId="12" fillId="0" borderId="43" xfId="0" applyFont="1" applyBorder="1" applyAlignment="1">
      <alignment horizontal="center" vertical="center"/>
    </xf>
    <xf numFmtId="0" fontId="17" fillId="0" borderId="43" xfId="0" applyFont="1" applyBorder="1" applyAlignment="1">
      <alignment horizontal="center" vertical="center"/>
    </xf>
    <xf numFmtId="0" fontId="12" fillId="0" borderId="43" xfId="0" quotePrefix="1" applyFont="1" applyBorder="1" applyAlignment="1">
      <alignment horizontal="center" vertical="center"/>
    </xf>
    <xf numFmtId="0" fontId="12" fillId="0" borderId="51" xfId="0" applyFont="1" applyBorder="1">
      <alignment vertical="center"/>
    </xf>
    <xf numFmtId="0" fontId="14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4" fillId="0" borderId="0" xfId="0" quotePrefix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3" fillId="0" borderId="23" xfId="0" applyFont="1" applyFill="1" applyBorder="1" applyAlignment="1">
      <alignment horizontal="left" vertical="center" wrapText="1"/>
    </xf>
    <xf numFmtId="0" fontId="13" fillId="0" borderId="23" xfId="0" applyFont="1" applyFill="1" applyBorder="1" applyAlignment="1">
      <alignment horizontal="left" vertical="center" shrinkToFit="1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41" fontId="16" fillId="0" borderId="40" xfId="1" applyFont="1" applyBorder="1" applyAlignment="1">
      <alignment horizontal="center" vertical="center"/>
    </xf>
    <xf numFmtId="41" fontId="16" fillId="0" borderId="38" xfId="1" applyFont="1" applyFill="1" applyBorder="1" applyAlignment="1">
      <alignment horizontal="center" vertical="center"/>
    </xf>
    <xf numFmtId="41" fontId="16" fillId="0" borderId="38" xfId="2" applyFont="1" applyFill="1" applyBorder="1" applyAlignment="1">
      <alignment horizontal="center" vertical="center"/>
    </xf>
    <xf numFmtId="3" fontId="16" fillId="0" borderId="42" xfId="1" applyNumberFormat="1" applyFont="1" applyFill="1" applyBorder="1" applyAlignment="1">
      <alignment horizontal="right" vertical="center"/>
    </xf>
    <xf numFmtId="176" fontId="16" fillId="0" borderId="42" xfId="1" applyNumberFormat="1" applyFont="1" applyBorder="1" applyAlignment="1">
      <alignment horizontal="right" vertical="center"/>
    </xf>
    <xf numFmtId="0" fontId="7" fillId="0" borderId="28" xfId="0" applyFont="1" applyBorder="1" applyAlignment="1">
      <alignment horizontal="center" vertical="center"/>
    </xf>
    <xf numFmtId="41" fontId="8" fillId="0" borderId="46" xfId="1" applyFont="1" applyBorder="1" applyAlignment="1">
      <alignment horizontal="center" vertical="center"/>
    </xf>
    <xf numFmtId="41" fontId="4" fillId="0" borderId="33" xfId="2" applyFont="1" applyFill="1" applyBorder="1" applyAlignment="1">
      <alignment horizontal="center" vertical="center"/>
    </xf>
    <xf numFmtId="0" fontId="12" fillId="0" borderId="44" xfId="0" applyFont="1" applyBorder="1" applyAlignment="1">
      <alignment vertical="center" wrapText="1"/>
    </xf>
    <xf numFmtId="41" fontId="8" fillId="0" borderId="30" xfId="1" applyFont="1" applyBorder="1" applyAlignment="1">
      <alignment horizontal="right" vertical="center"/>
    </xf>
    <xf numFmtId="41" fontId="8" fillId="0" borderId="31" xfId="1" applyFont="1" applyFill="1" applyBorder="1" applyAlignment="1">
      <alignment horizontal="right" vertical="center"/>
    </xf>
    <xf numFmtId="41" fontId="8" fillId="0" borderId="28" xfId="2" applyFont="1" applyFill="1" applyBorder="1" applyAlignment="1">
      <alignment horizontal="right" vertical="center"/>
    </xf>
    <xf numFmtId="0" fontId="12" fillId="0" borderId="44" xfId="0" applyFont="1" applyBorder="1" applyAlignment="1">
      <alignment horizontal="left" vertical="center"/>
    </xf>
    <xf numFmtId="41" fontId="12" fillId="0" borderId="47" xfId="1" applyFont="1" applyBorder="1">
      <alignment vertical="center"/>
    </xf>
    <xf numFmtId="0" fontId="17" fillId="0" borderId="47" xfId="0" applyFont="1" applyBorder="1" applyAlignment="1">
      <alignment horizontal="center" vertical="center"/>
    </xf>
    <xf numFmtId="0" fontId="12" fillId="0" borderId="47" xfId="0" quotePrefix="1" applyFont="1" applyBorder="1" applyAlignment="1">
      <alignment horizontal="center" vertical="center"/>
    </xf>
    <xf numFmtId="41" fontId="12" fillId="0" borderId="47" xfId="2" applyFont="1" applyBorder="1">
      <alignment vertical="center"/>
    </xf>
    <xf numFmtId="41" fontId="8" fillId="0" borderId="45" xfId="1" applyNumberFormat="1" applyFont="1" applyBorder="1" applyAlignment="1">
      <alignment horizontal="center" vertical="center"/>
    </xf>
    <xf numFmtId="0" fontId="12" fillId="0" borderId="29" xfId="0" applyFont="1" applyBorder="1" applyAlignment="1">
      <alignment vertical="center" wrapText="1"/>
    </xf>
    <xf numFmtId="0" fontId="12" fillId="0" borderId="34" xfId="0" quotePrefix="1" applyFont="1" applyBorder="1" applyAlignment="1">
      <alignment horizontal="center" vertical="center"/>
    </xf>
    <xf numFmtId="41" fontId="16" fillId="0" borderId="30" xfId="1" applyNumberFormat="1" applyFont="1" applyBorder="1" applyAlignment="1">
      <alignment horizontal="center" vertical="center"/>
    </xf>
    <xf numFmtId="41" fontId="16" fillId="0" borderId="46" xfId="1" applyNumberFormat="1" applyFont="1" applyBorder="1" applyAlignment="1">
      <alignment horizontal="center" vertical="center"/>
    </xf>
    <xf numFmtId="41" fontId="16" fillId="0" borderId="33" xfId="1" applyNumberFormat="1" applyFont="1" applyBorder="1" applyAlignment="1">
      <alignment horizontal="center" vertical="center"/>
    </xf>
    <xf numFmtId="3" fontId="16" fillId="0" borderId="33" xfId="1" applyNumberFormat="1" applyFont="1" applyBorder="1" applyAlignment="1">
      <alignment horizontal="right" vertical="center"/>
    </xf>
    <xf numFmtId="41" fontId="14" fillId="0" borderId="34" xfId="2" applyFont="1" applyBorder="1">
      <alignment vertical="center"/>
    </xf>
    <xf numFmtId="0" fontId="14" fillId="0" borderId="35" xfId="0" applyFont="1" applyBorder="1">
      <alignment vertical="center"/>
    </xf>
    <xf numFmtId="41" fontId="8" fillId="0" borderId="30" xfId="1" applyNumberFormat="1" applyFont="1" applyBorder="1" applyAlignment="1">
      <alignment horizontal="center" vertical="center"/>
    </xf>
    <xf numFmtId="41" fontId="8" fillId="0" borderId="46" xfId="1" applyNumberFormat="1" applyFont="1" applyBorder="1" applyAlignment="1">
      <alignment horizontal="center" vertical="center"/>
    </xf>
    <xf numFmtId="41" fontId="8" fillId="0" borderId="33" xfId="2" applyFont="1" applyFill="1" applyBorder="1" applyAlignment="1">
      <alignment horizontal="right" vertical="center"/>
    </xf>
    <xf numFmtId="0" fontId="12" fillId="0" borderId="57" xfId="0" applyFont="1" applyBorder="1" applyAlignment="1">
      <alignment horizontal="center" vertical="center"/>
    </xf>
    <xf numFmtId="41" fontId="8" fillId="0" borderId="49" xfId="1" applyFont="1" applyFill="1" applyBorder="1" applyAlignment="1">
      <alignment horizontal="center" vertical="center"/>
    </xf>
    <xf numFmtId="41" fontId="8" fillId="0" borderId="33" xfId="2" applyFont="1" applyFill="1" applyBorder="1" applyAlignment="1">
      <alignment horizontal="center" vertical="center"/>
    </xf>
    <xf numFmtId="0" fontId="13" fillId="0" borderId="44" xfId="0" applyFont="1" applyBorder="1" applyAlignment="1">
      <alignment vertical="center" shrinkToFit="1"/>
    </xf>
    <xf numFmtId="41" fontId="12" fillId="0" borderId="0" xfId="1" applyFont="1" applyFill="1" applyBorder="1">
      <alignment vertical="center"/>
    </xf>
    <xf numFmtId="0" fontId="7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left" vertical="center"/>
    </xf>
    <xf numFmtId="41" fontId="12" fillId="0" borderId="55" xfId="1" applyFont="1" applyBorder="1">
      <alignment vertical="center"/>
    </xf>
    <xf numFmtId="0" fontId="12" fillId="0" borderId="55" xfId="0" applyFont="1" applyBorder="1" applyAlignment="1">
      <alignment horizontal="center" vertical="center"/>
    </xf>
    <xf numFmtId="0" fontId="17" fillId="0" borderId="55" xfId="0" applyFont="1" applyBorder="1" applyAlignment="1">
      <alignment horizontal="center" vertical="center"/>
    </xf>
    <xf numFmtId="0" fontId="12" fillId="0" borderId="55" xfId="0" quotePrefix="1" applyFont="1" applyBorder="1" applyAlignment="1">
      <alignment horizontal="center" vertical="center"/>
    </xf>
    <xf numFmtId="0" fontId="12" fillId="0" borderId="56" xfId="0" applyFont="1" applyBorder="1">
      <alignment vertical="center"/>
    </xf>
    <xf numFmtId="41" fontId="8" fillId="0" borderId="0" xfId="1" applyFont="1" applyAlignment="1">
      <alignment horizontal="center" vertical="center"/>
    </xf>
    <xf numFmtId="41" fontId="8" fillId="0" borderId="0" xfId="1" applyFont="1" applyFill="1" applyAlignment="1">
      <alignment horizontal="center" vertical="center"/>
    </xf>
    <xf numFmtId="3" fontId="7" fillId="0" borderId="0" xfId="1" applyNumberFormat="1" applyFont="1" applyFill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41" fontId="10" fillId="0" borderId="0" xfId="1" applyFont="1" applyFill="1" applyBorder="1" applyAlignment="1">
      <alignment horizontal="center" vertical="center"/>
    </xf>
    <xf numFmtId="41" fontId="10" fillId="0" borderId="0" xfId="1" applyFont="1" applyBorder="1" applyAlignment="1">
      <alignment horizontal="center" vertical="center"/>
    </xf>
    <xf numFmtId="177" fontId="10" fillId="0" borderId="0" xfId="1" applyNumberFormat="1" applyFont="1" applyBorder="1" applyAlignment="1">
      <alignment horizontal="right" vertical="center"/>
    </xf>
    <xf numFmtId="178" fontId="10" fillId="0" borderId="0" xfId="1" applyNumberFormat="1" applyFont="1" applyBorder="1" applyAlignment="1">
      <alignment horizontal="right" vertical="center"/>
    </xf>
    <xf numFmtId="41" fontId="4" fillId="0" borderId="0" xfId="1" applyFont="1">
      <alignment vertical="center"/>
    </xf>
    <xf numFmtId="41" fontId="11" fillId="0" borderId="61" xfId="1" applyFont="1" applyBorder="1" applyAlignment="1">
      <alignment horizontal="center" vertical="center"/>
    </xf>
    <xf numFmtId="41" fontId="11" fillId="3" borderId="60" xfId="2" applyFont="1" applyFill="1" applyBorder="1" applyAlignment="1">
      <alignment horizontal="center" vertical="center"/>
    </xf>
    <xf numFmtId="177" fontId="11" fillId="0" borderId="40" xfId="1" applyNumberFormat="1" applyFont="1" applyBorder="1" applyAlignment="1">
      <alignment horizontal="right" vertical="center"/>
    </xf>
    <xf numFmtId="178" fontId="11" fillId="0" borderId="40" xfId="1" applyNumberFormat="1" applyFont="1" applyBorder="1" applyAlignment="1">
      <alignment horizontal="right" vertical="center"/>
    </xf>
    <xf numFmtId="0" fontId="13" fillId="0" borderId="62" xfId="0" applyFont="1" applyBorder="1">
      <alignment vertical="center"/>
    </xf>
    <xf numFmtId="0" fontId="13" fillId="0" borderId="63" xfId="0" applyFont="1" applyBorder="1">
      <alignment vertical="center"/>
    </xf>
    <xf numFmtId="41" fontId="14" fillId="0" borderId="63" xfId="1" applyFont="1" applyBorder="1" applyAlignment="1">
      <alignment horizontal="center" vertical="center"/>
    </xf>
    <xf numFmtId="0" fontId="18" fillId="0" borderId="64" xfId="0" applyFont="1" applyBorder="1">
      <alignment vertical="center"/>
    </xf>
    <xf numFmtId="0" fontId="16" fillId="0" borderId="21" xfId="0" applyFont="1" applyBorder="1" applyAlignment="1">
      <alignment horizontal="center" vertical="center"/>
    </xf>
    <xf numFmtId="41" fontId="11" fillId="0" borderId="66" xfId="1" applyFont="1" applyFill="1" applyBorder="1" applyAlignment="1">
      <alignment horizontal="center" vertical="center"/>
    </xf>
    <xf numFmtId="41" fontId="11" fillId="0" borderId="66" xfId="1" applyFont="1" applyBorder="1" applyAlignment="1">
      <alignment horizontal="center" vertical="center"/>
    </xf>
    <xf numFmtId="41" fontId="11" fillId="3" borderId="66" xfId="2" applyFont="1" applyFill="1" applyBorder="1" applyAlignment="1">
      <alignment horizontal="center" vertical="center"/>
    </xf>
    <xf numFmtId="177" fontId="11" fillId="0" borderId="66" xfId="1" applyNumberFormat="1" applyFont="1" applyBorder="1" applyAlignment="1">
      <alignment horizontal="right" vertical="center"/>
    </xf>
    <xf numFmtId="178" fontId="11" fillId="0" borderId="66" xfId="1" applyNumberFormat="1" applyFont="1" applyBorder="1" applyAlignment="1">
      <alignment horizontal="right" vertical="center"/>
    </xf>
    <xf numFmtId="0" fontId="13" fillId="0" borderId="65" xfId="0" applyFont="1" applyBorder="1" applyAlignment="1">
      <alignment horizontal="left" vertical="center"/>
    </xf>
    <xf numFmtId="41" fontId="12" fillId="0" borderId="67" xfId="1" applyFont="1" applyBorder="1">
      <alignment vertical="center"/>
    </xf>
    <xf numFmtId="0" fontId="12" fillId="0" borderId="67" xfId="0" applyFont="1" applyBorder="1">
      <alignment vertical="center"/>
    </xf>
    <xf numFmtId="0" fontId="12" fillId="0" borderId="67" xfId="0" applyFont="1" applyBorder="1" applyAlignment="1">
      <alignment horizontal="center" vertical="center"/>
    </xf>
    <xf numFmtId="41" fontId="14" fillId="0" borderId="67" xfId="1" applyFont="1" applyBorder="1">
      <alignment vertical="center"/>
    </xf>
    <xf numFmtId="0" fontId="14" fillId="0" borderId="68" xfId="0" applyFont="1" applyBorder="1">
      <alignment vertical="center"/>
    </xf>
    <xf numFmtId="41" fontId="8" fillId="0" borderId="21" xfId="1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41" fontId="11" fillId="0" borderId="24" xfId="1" applyFont="1" applyFill="1" applyBorder="1" applyAlignment="1">
      <alignment horizontal="center" vertical="center"/>
    </xf>
    <xf numFmtId="41" fontId="11" fillId="0" borderId="24" xfId="1" applyFont="1" applyBorder="1" applyAlignment="1">
      <alignment horizontal="center" vertical="center"/>
    </xf>
    <xf numFmtId="41" fontId="11" fillId="3" borderId="24" xfId="2" applyFont="1" applyFill="1" applyBorder="1" applyAlignment="1">
      <alignment horizontal="center" vertical="center"/>
    </xf>
    <xf numFmtId="177" fontId="11" fillId="0" borderId="24" xfId="1" applyNumberFormat="1" applyFont="1" applyBorder="1" applyAlignment="1">
      <alignment horizontal="right" vertical="center"/>
    </xf>
    <xf numFmtId="178" fontId="11" fillId="0" borderId="24" xfId="1" applyNumberFormat="1" applyFont="1" applyBorder="1" applyAlignment="1">
      <alignment horizontal="right" vertical="center"/>
    </xf>
    <xf numFmtId="0" fontId="13" fillId="0" borderId="23" xfId="0" applyFont="1" applyBorder="1" applyAlignment="1">
      <alignment horizontal="left" vertical="center"/>
    </xf>
    <xf numFmtId="41" fontId="21" fillId="4" borderId="69" xfId="1" applyFont="1" applyFill="1" applyBorder="1" applyAlignment="1">
      <alignment horizontal="center" vertical="distributed"/>
    </xf>
    <xf numFmtId="41" fontId="22" fillId="4" borderId="69" xfId="1" applyFont="1" applyFill="1" applyBorder="1" applyAlignment="1">
      <alignment horizontal="center" vertical="distributed"/>
    </xf>
    <xf numFmtId="41" fontId="22" fillId="4" borderId="0" xfId="1" applyFont="1" applyFill="1" applyBorder="1" applyAlignment="1">
      <alignment horizontal="center" vertical="distributed"/>
    </xf>
    <xf numFmtId="0" fontId="12" fillId="0" borderId="70" xfId="0" applyFont="1" applyBorder="1" applyAlignment="1">
      <alignment horizontal="left" vertical="center"/>
    </xf>
    <xf numFmtId="0" fontId="12" fillId="0" borderId="71" xfId="0" applyFont="1" applyBorder="1" applyAlignment="1">
      <alignment horizontal="left" vertical="center"/>
    </xf>
    <xf numFmtId="3" fontId="12" fillId="0" borderId="0" xfId="0" applyNumberFormat="1" applyFont="1" applyBorder="1">
      <alignment vertical="center"/>
    </xf>
    <xf numFmtId="41" fontId="12" fillId="0" borderId="0" xfId="1" applyNumberFormat="1" applyFont="1" applyBorder="1">
      <alignment vertical="center"/>
    </xf>
    <xf numFmtId="0" fontId="12" fillId="0" borderId="52" xfId="0" applyFont="1" applyBorder="1" applyAlignment="1">
      <alignment horizontal="left" vertical="center"/>
    </xf>
    <xf numFmtId="179" fontId="12" fillId="0" borderId="0" xfId="0" applyNumberFormat="1" applyFont="1" applyBorder="1" applyAlignment="1">
      <alignment horizontal="center" vertical="center"/>
    </xf>
    <xf numFmtId="10" fontId="12" fillId="0" borderId="0" xfId="0" applyNumberFormat="1" applyFont="1" applyBorder="1" applyAlignment="1">
      <alignment horizontal="center" vertical="center"/>
    </xf>
    <xf numFmtId="0" fontId="12" fillId="0" borderId="43" xfId="0" applyFont="1" applyBorder="1">
      <alignment vertical="center"/>
    </xf>
    <xf numFmtId="180" fontId="12" fillId="0" borderId="43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41" fontId="11" fillId="0" borderId="4" xfId="1" applyFont="1" applyFill="1" applyBorder="1" applyAlignment="1">
      <alignment horizontal="center" vertical="center"/>
    </xf>
    <xf numFmtId="41" fontId="11" fillId="0" borderId="4" xfId="1" applyFont="1" applyBorder="1" applyAlignment="1">
      <alignment horizontal="center" vertical="center"/>
    </xf>
    <xf numFmtId="41" fontId="11" fillId="3" borderId="4" xfId="2" applyFont="1" applyFill="1" applyBorder="1" applyAlignment="1">
      <alignment horizontal="center" vertical="center"/>
    </xf>
    <xf numFmtId="177" fontId="11" fillId="0" borderId="4" xfId="1" applyNumberFormat="1" applyFont="1" applyBorder="1" applyAlignment="1">
      <alignment horizontal="right" vertical="center"/>
    </xf>
    <xf numFmtId="178" fontId="11" fillId="0" borderId="4" xfId="1" applyNumberFormat="1" applyFont="1" applyBorder="1" applyAlignment="1">
      <alignment horizontal="right" vertical="center"/>
    </xf>
    <xf numFmtId="0" fontId="13" fillId="0" borderId="53" xfId="0" applyFont="1" applyBorder="1" applyAlignment="1">
      <alignment horizontal="left" vertical="center"/>
    </xf>
    <xf numFmtId="41" fontId="12" fillId="0" borderId="53" xfId="1" applyFont="1" applyBorder="1">
      <alignment vertical="center"/>
    </xf>
    <xf numFmtId="0" fontId="12" fillId="0" borderId="34" xfId="0" applyFont="1" applyBorder="1" applyAlignment="1">
      <alignment horizontal="left" vertical="center"/>
    </xf>
    <xf numFmtId="0" fontId="12" fillId="0" borderId="43" xfId="0" applyFont="1" applyBorder="1" applyAlignment="1">
      <alignment horizontal="left" vertical="center"/>
    </xf>
    <xf numFmtId="0" fontId="14" fillId="0" borderId="34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6" fillId="0" borderId="29" xfId="0" applyFont="1" applyBorder="1" applyAlignment="1">
      <alignment horizontal="center" vertical="center"/>
    </xf>
    <xf numFmtId="41" fontId="16" fillId="0" borderId="30" xfId="1" applyFont="1" applyFill="1" applyBorder="1" applyAlignment="1">
      <alignment horizontal="center" vertical="center"/>
    </xf>
    <xf numFmtId="41" fontId="16" fillId="0" borderId="30" xfId="1" applyFont="1" applyBorder="1" applyAlignment="1">
      <alignment horizontal="center" vertical="center"/>
    </xf>
    <xf numFmtId="41" fontId="16" fillId="3" borderId="30" xfId="2" applyFont="1" applyFill="1" applyBorder="1" applyAlignment="1">
      <alignment horizontal="center" vertical="center"/>
    </xf>
    <xf numFmtId="177" fontId="16" fillId="0" borderId="30" xfId="1" applyNumberFormat="1" applyFont="1" applyBorder="1" applyAlignment="1">
      <alignment horizontal="right" vertical="center"/>
    </xf>
    <xf numFmtId="178" fontId="16" fillId="0" borderId="30" xfId="1" applyNumberFormat="1" applyFont="1" applyBorder="1" applyAlignment="1">
      <alignment horizontal="right" vertical="center"/>
    </xf>
    <xf numFmtId="9" fontId="7" fillId="0" borderId="22" xfId="4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 wrapText="1"/>
    </xf>
    <xf numFmtId="0" fontId="14" fillId="0" borderId="71" xfId="0" applyFont="1" applyBorder="1" applyAlignment="1">
      <alignment horizontal="left" vertical="center"/>
    </xf>
    <xf numFmtId="41" fontId="14" fillId="0" borderId="34" xfId="1" applyFont="1" applyBorder="1">
      <alignment vertical="center"/>
    </xf>
    <xf numFmtId="0" fontId="7" fillId="0" borderId="41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41" fontId="16" fillId="0" borderId="24" xfId="1" applyFont="1" applyFill="1" applyBorder="1" applyAlignment="1">
      <alignment horizontal="center" vertical="center"/>
    </xf>
    <xf numFmtId="41" fontId="16" fillId="3" borderId="24" xfId="2" applyFont="1" applyFill="1" applyBorder="1" applyAlignment="1">
      <alignment horizontal="center" vertical="center"/>
    </xf>
    <xf numFmtId="177" fontId="16" fillId="0" borderId="24" xfId="1" applyNumberFormat="1" applyFont="1" applyBorder="1" applyAlignment="1">
      <alignment horizontal="right" vertical="center"/>
    </xf>
    <xf numFmtId="178" fontId="16" fillId="0" borderId="24" xfId="1" applyNumberFormat="1" applyFont="1" applyBorder="1" applyAlignment="1">
      <alignment horizontal="right" vertical="center"/>
    </xf>
    <xf numFmtId="41" fontId="14" fillId="0" borderId="0" xfId="1" applyFont="1" applyBorder="1">
      <alignment vertical="center"/>
    </xf>
    <xf numFmtId="0" fontId="12" fillId="0" borderId="34" xfId="0" applyFont="1" applyBorder="1" applyAlignment="1">
      <alignment horizontal="left" vertical="center" shrinkToFit="1"/>
    </xf>
    <xf numFmtId="0" fontId="12" fillId="0" borderId="70" xfId="0" applyFont="1" applyBorder="1" applyAlignment="1">
      <alignment horizontal="left" vertical="center" shrinkToFit="1"/>
    </xf>
    <xf numFmtId="0" fontId="12" fillId="0" borderId="0" xfId="0" applyFont="1" applyBorder="1" applyAlignment="1">
      <alignment horizontal="left" vertical="center" shrinkToFit="1"/>
    </xf>
    <xf numFmtId="0" fontId="12" fillId="0" borderId="52" xfId="0" applyFont="1" applyBorder="1" applyAlignment="1">
      <alignment horizontal="left" vertical="center" shrinkToFit="1"/>
    </xf>
    <xf numFmtId="0" fontId="12" fillId="0" borderId="71" xfId="0" applyFont="1" applyBorder="1" applyAlignment="1">
      <alignment horizontal="left" vertical="center" shrinkToFit="1"/>
    </xf>
    <xf numFmtId="41" fontId="8" fillId="0" borderId="8" xfId="1" applyFont="1" applyBorder="1" applyAlignment="1">
      <alignment horizontal="center" vertical="center"/>
    </xf>
    <xf numFmtId="41" fontId="16" fillId="0" borderId="21" xfId="1" applyFont="1" applyBorder="1" applyAlignment="1">
      <alignment horizontal="center" vertical="center"/>
    </xf>
    <xf numFmtId="41" fontId="16" fillId="0" borderId="58" xfId="1" applyFont="1" applyBorder="1" applyAlignment="1">
      <alignment horizontal="center" vertical="center"/>
    </xf>
    <xf numFmtId="41" fontId="16" fillId="3" borderId="58" xfId="2" applyFont="1" applyFill="1" applyBorder="1" applyAlignment="1">
      <alignment horizontal="center" vertical="center"/>
    </xf>
    <xf numFmtId="177" fontId="16" fillId="0" borderId="58" xfId="1" applyNumberFormat="1" applyFont="1" applyBorder="1" applyAlignment="1">
      <alignment horizontal="right" vertical="center"/>
    </xf>
    <xf numFmtId="178" fontId="16" fillId="0" borderId="58" xfId="1" applyNumberFormat="1" applyFont="1" applyBorder="1" applyAlignment="1">
      <alignment horizontal="right" vertical="center"/>
    </xf>
    <xf numFmtId="0" fontId="12" fillId="0" borderId="74" xfId="0" applyFont="1" applyBorder="1" applyAlignment="1">
      <alignment horizontal="left" vertical="center"/>
    </xf>
    <xf numFmtId="41" fontId="12" fillId="0" borderId="75" xfId="1" applyFont="1" applyBorder="1">
      <alignment vertical="center"/>
    </xf>
    <xf numFmtId="0" fontId="12" fillId="0" borderId="75" xfId="0" applyFont="1" applyBorder="1">
      <alignment vertical="center"/>
    </xf>
    <xf numFmtId="0" fontId="12" fillId="0" borderId="75" xfId="0" applyFont="1" applyBorder="1" applyAlignment="1">
      <alignment horizontal="center" vertical="center"/>
    </xf>
    <xf numFmtId="0" fontId="12" fillId="0" borderId="59" xfId="0" applyFont="1" applyBorder="1">
      <alignment vertical="center"/>
    </xf>
    <xf numFmtId="0" fontId="8" fillId="0" borderId="44" xfId="0" applyFont="1" applyBorder="1" applyAlignment="1">
      <alignment horizontal="center" vertical="center"/>
    </xf>
    <xf numFmtId="41" fontId="4" fillId="3" borderId="45" xfId="2" applyFont="1" applyFill="1" applyBorder="1" applyAlignment="1">
      <alignment horizontal="center" vertical="center"/>
    </xf>
    <xf numFmtId="0" fontId="12" fillId="0" borderId="47" xfId="0" applyFont="1" applyBorder="1" applyAlignment="1">
      <alignment horizontal="left" vertical="center"/>
    </xf>
    <xf numFmtId="41" fontId="12" fillId="0" borderId="43" xfId="2" applyFont="1" applyBorder="1">
      <alignment vertical="center"/>
    </xf>
    <xf numFmtId="0" fontId="7" fillId="0" borderId="22" xfId="0" applyFont="1" applyBorder="1">
      <alignment vertical="center"/>
    </xf>
    <xf numFmtId="0" fontId="4" fillId="0" borderId="73" xfId="0" applyFont="1" applyBorder="1" applyAlignment="1">
      <alignment horizontal="center" vertical="center" wrapText="1"/>
    </xf>
    <xf numFmtId="41" fontId="8" fillId="0" borderId="58" xfId="1" applyFont="1" applyFill="1" applyBorder="1" applyAlignment="1">
      <alignment vertical="center"/>
    </xf>
    <xf numFmtId="41" fontId="8" fillId="0" borderId="58" xfId="1" applyFont="1" applyBorder="1" applyAlignment="1">
      <alignment vertical="center"/>
    </xf>
    <xf numFmtId="41" fontId="8" fillId="3" borderId="58" xfId="2" applyFont="1" applyFill="1" applyBorder="1" applyAlignment="1">
      <alignment vertical="center"/>
    </xf>
    <xf numFmtId="177" fontId="8" fillId="0" borderId="58" xfId="1" applyNumberFormat="1" applyFont="1" applyBorder="1" applyAlignment="1">
      <alignment horizontal="right" vertical="center"/>
    </xf>
    <xf numFmtId="178" fontId="8" fillId="0" borderId="58" xfId="1" applyNumberFormat="1" applyFont="1" applyBorder="1" applyAlignment="1">
      <alignment horizontal="right" vertical="center"/>
    </xf>
    <xf numFmtId="0" fontId="12" fillId="0" borderId="43" xfId="0" applyFont="1" applyFill="1" applyBorder="1" applyAlignment="1">
      <alignment horizontal="left" vertical="center"/>
    </xf>
    <xf numFmtId="41" fontId="12" fillId="0" borderId="43" xfId="2" applyFont="1" applyFill="1" applyBorder="1">
      <alignment vertical="center"/>
    </xf>
    <xf numFmtId="0" fontId="12" fillId="0" borderId="43" xfId="0" applyFont="1" applyFill="1" applyBorder="1">
      <alignment vertical="center"/>
    </xf>
    <xf numFmtId="0" fontId="17" fillId="0" borderId="43" xfId="0" applyFont="1" applyFill="1" applyBorder="1" applyAlignment="1">
      <alignment horizontal="center" vertical="center"/>
    </xf>
    <xf numFmtId="0" fontId="12" fillId="0" borderId="43" xfId="0" applyFont="1" applyFill="1" applyBorder="1" applyAlignment="1">
      <alignment horizontal="center" vertical="center"/>
    </xf>
    <xf numFmtId="0" fontId="12" fillId="0" borderId="43" xfId="0" quotePrefix="1" applyFont="1" applyFill="1" applyBorder="1" applyAlignment="1">
      <alignment horizontal="center" vertical="center"/>
    </xf>
    <xf numFmtId="0" fontId="12" fillId="0" borderId="51" xfId="0" applyFont="1" applyFill="1" applyBorder="1">
      <alignment vertical="center"/>
    </xf>
    <xf numFmtId="0" fontId="7" fillId="0" borderId="22" xfId="0" applyFont="1" applyBorder="1" applyAlignment="1">
      <alignment horizontal="center" vertical="center" shrinkToFit="1"/>
    </xf>
    <xf numFmtId="41" fontId="8" fillId="0" borderId="45" xfId="2" applyFont="1" applyFill="1" applyBorder="1" applyAlignment="1">
      <alignment vertical="center"/>
    </xf>
    <xf numFmtId="41" fontId="8" fillId="0" borderId="45" xfId="2" applyFont="1" applyBorder="1" applyAlignment="1">
      <alignment vertical="center"/>
    </xf>
    <xf numFmtId="41" fontId="8" fillId="3" borderId="45" xfId="2" applyFont="1" applyFill="1" applyBorder="1" applyAlignment="1">
      <alignment vertical="center"/>
    </xf>
    <xf numFmtId="0" fontId="7" fillId="0" borderId="21" xfId="0" applyFont="1" applyBorder="1">
      <alignment vertical="center"/>
    </xf>
    <xf numFmtId="0" fontId="12" fillId="0" borderId="76" xfId="0" applyFont="1" applyBorder="1" applyAlignment="1">
      <alignment horizontal="left" vertical="center"/>
    </xf>
    <xf numFmtId="41" fontId="14" fillId="0" borderId="0" xfId="2" applyFont="1" applyBorder="1">
      <alignment vertical="center"/>
    </xf>
    <xf numFmtId="0" fontId="14" fillId="0" borderId="0" xfId="0" applyFont="1" applyBorder="1">
      <alignment vertical="center"/>
    </xf>
    <xf numFmtId="0" fontId="14" fillId="0" borderId="7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12" fillId="0" borderId="52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center" vertical="center"/>
    </xf>
    <xf numFmtId="0" fontId="8" fillId="0" borderId="73" xfId="0" applyFont="1" applyBorder="1" applyAlignment="1">
      <alignment horizontal="center" vertical="center"/>
    </xf>
    <xf numFmtId="41" fontId="4" fillId="3" borderId="58" xfId="2" applyFont="1" applyFill="1" applyBorder="1" applyAlignment="1">
      <alignment vertical="center"/>
    </xf>
    <xf numFmtId="0" fontId="12" fillId="0" borderId="75" xfId="0" applyFont="1" applyBorder="1" applyAlignment="1">
      <alignment horizontal="left" vertical="center"/>
    </xf>
    <xf numFmtId="0" fontId="17" fillId="0" borderId="75" xfId="0" applyFont="1" applyBorder="1" applyAlignment="1">
      <alignment horizontal="center" vertical="center"/>
    </xf>
    <xf numFmtId="0" fontId="12" fillId="0" borderId="75" xfId="0" quotePrefix="1" applyFont="1" applyBorder="1" applyAlignment="1">
      <alignment horizontal="center" vertical="center"/>
    </xf>
    <xf numFmtId="0" fontId="12" fillId="0" borderId="23" xfId="0" applyFont="1" applyBorder="1" applyAlignment="1">
      <alignment horizontal="left" vertical="center" wrapText="1"/>
    </xf>
    <xf numFmtId="0" fontId="12" fillId="0" borderId="71" xfId="0" applyFont="1" applyBorder="1" applyAlignment="1">
      <alignment horizontal="left" vertical="center" wrapText="1"/>
    </xf>
    <xf numFmtId="41" fontId="8" fillId="0" borderId="52" xfId="1" applyFont="1" applyBorder="1" applyAlignment="1">
      <alignment horizontal="center" vertical="center"/>
    </xf>
    <xf numFmtId="0" fontId="13" fillId="0" borderId="52" xfId="0" applyFont="1" applyBorder="1" applyAlignment="1">
      <alignment horizontal="left" vertical="center"/>
    </xf>
    <xf numFmtId="0" fontId="24" fillId="0" borderId="28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 wrapText="1"/>
    </xf>
    <xf numFmtId="41" fontId="8" fillId="0" borderId="45" xfId="1" applyFont="1" applyFill="1" applyBorder="1" applyAlignment="1">
      <alignment vertical="center"/>
    </xf>
    <xf numFmtId="41" fontId="8" fillId="0" borderId="45" xfId="1" applyFont="1" applyBorder="1" applyAlignment="1">
      <alignment vertical="center"/>
    </xf>
    <xf numFmtId="0" fontId="24" fillId="0" borderId="22" xfId="0" applyFont="1" applyBorder="1" applyAlignment="1">
      <alignment horizontal="center" vertical="center"/>
    </xf>
    <xf numFmtId="0" fontId="14" fillId="0" borderId="23" xfId="0" quotePrefix="1" applyFont="1" applyFill="1" applyBorder="1" applyAlignment="1">
      <alignment horizontal="left" vertical="center" wrapText="1"/>
    </xf>
    <xf numFmtId="41" fontId="14" fillId="0" borderId="0" xfId="2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19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quotePrefix="1" applyFont="1" applyFill="1" applyBorder="1" applyAlignment="1">
      <alignment horizontal="center" vertical="center"/>
    </xf>
    <xf numFmtId="0" fontId="14" fillId="0" borderId="23" xfId="0" quotePrefix="1" applyFont="1" applyBorder="1" applyAlignment="1">
      <alignment horizontal="left" vertical="center" wrapText="1"/>
    </xf>
    <xf numFmtId="0" fontId="23" fillId="0" borderId="22" xfId="0" applyFont="1" applyBorder="1" applyAlignment="1">
      <alignment horizontal="center" vertical="center"/>
    </xf>
    <xf numFmtId="0" fontId="12" fillId="0" borderId="23" xfId="0" quotePrefix="1" applyFont="1" applyBorder="1" applyAlignment="1">
      <alignment horizontal="left" vertical="center" wrapText="1"/>
    </xf>
    <xf numFmtId="0" fontId="23" fillId="0" borderId="22" xfId="0" applyFont="1" applyBorder="1" applyAlignment="1">
      <alignment horizontal="center" vertical="top"/>
    </xf>
    <xf numFmtId="0" fontId="12" fillId="0" borderId="29" xfId="0" applyFont="1" applyBorder="1" applyAlignment="1">
      <alignment horizontal="left" vertical="center" wrapText="1"/>
    </xf>
    <xf numFmtId="0" fontId="12" fillId="0" borderId="23" xfId="0" quotePrefix="1" applyFont="1" applyBorder="1" applyAlignment="1">
      <alignment horizontal="left" vertical="center"/>
    </xf>
    <xf numFmtId="0" fontId="12" fillId="0" borderId="50" xfId="0" quotePrefix="1" applyFont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 shrinkToFit="1"/>
    </xf>
    <xf numFmtId="41" fontId="8" fillId="3" borderId="30" xfId="2" applyFont="1" applyFill="1" applyBorder="1" applyAlignment="1">
      <alignment vertical="center"/>
    </xf>
    <xf numFmtId="41" fontId="8" fillId="3" borderId="24" xfId="2" applyFont="1" applyFill="1" applyBorder="1" applyAlignment="1">
      <alignment vertical="center"/>
    </xf>
    <xf numFmtId="183" fontId="8" fillId="0" borderId="45" xfId="1" applyNumberFormat="1" applyFont="1" applyBorder="1" applyAlignment="1">
      <alignment horizontal="right" vertical="center"/>
    </xf>
    <xf numFmtId="0" fontId="12" fillId="0" borderId="71" xfId="0" applyFont="1" applyFill="1" applyBorder="1" applyAlignment="1">
      <alignment horizontal="left" vertical="center"/>
    </xf>
    <xf numFmtId="0" fontId="12" fillId="0" borderId="34" xfId="0" applyFont="1" applyFill="1" applyBorder="1">
      <alignment vertical="center"/>
    </xf>
    <xf numFmtId="0" fontId="15" fillId="0" borderId="28" xfId="0" applyFont="1" applyFill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41" fontId="8" fillId="3" borderId="76" xfId="2" applyFont="1" applyFill="1" applyBorder="1" applyAlignment="1">
      <alignment horizontal="center" vertical="center"/>
    </xf>
    <xf numFmtId="181" fontId="8" fillId="0" borderId="45" xfId="1" applyNumberFormat="1" applyFont="1" applyBorder="1" applyAlignment="1">
      <alignment horizontal="right" vertical="center"/>
    </xf>
    <xf numFmtId="41" fontId="14" fillId="0" borderId="47" xfId="1" applyFont="1" applyBorder="1">
      <alignment vertical="center"/>
    </xf>
    <xf numFmtId="0" fontId="7" fillId="0" borderId="22" xfId="0" applyFont="1" applyFill="1" applyBorder="1" applyAlignment="1">
      <alignment horizontal="center" vertical="center"/>
    </xf>
    <xf numFmtId="0" fontId="15" fillId="0" borderId="22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0" fontId="12" fillId="0" borderId="70" xfId="0" applyFont="1" applyFill="1" applyBorder="1" applyAlignment="1">
      <alignment horizontal="left" vertical="center"/>
    </xf>
    <xf numFmtId="0" fontId="8" fillId="0" borderId="57" xfId="0" applyFont="1" applyBorder="1" applyAlignment="1">
      <alignment horizontal="center" vertical="center" wrapText="1"/>
    </xf>
    <xf numFmtId="0" fontId="12" fillId="0" borderId="47" xfId="0" quotePrefix="1" applyFont="1" applyFill="1" applyBorder="1" applyAlignment="1">
      <alignment horizontal="center" vertical="center"/>
    </xf>
    <xf numFmtId="41" fontId="12" fillId="0" borderId="47" xfId="2" applyFont="1" applyFill="1" applyBorder="1">
      <alignment vertical="center"/>
    </xf>
    <xf numFmtId="0" fontId="12" fillId="0" borderId="48" xfId="0" applyFont="1" applyFill="1" applyBorder="1">
      <alignment vertical="center"/>
    </xf>
    <xf numFmtId="0" fontId="7" fillId="0" borderId="22" xfId="0" applyFont="1" applyBorder="1" applyAlignment="1">
      <alignment vertical="center"/>
    </xf>
    <xf numFmtId="41" fontId="12" fillId="0" borderId="34" xfId="0" applyNumberFormat="1" applyFont="1" applyFill="1" applyBorder="1">
      <alignment vertical="center"/>
    </xf>
    <xf numFmtId="0" fontId="12" fillId="0" borderId="52" xfId="0" applyFont="1" applyFill="1" applyBorder="1" applyAlignment="1">
      <alignment horizontal="left" vertical="center" shrinkToFit="1"/>
    </xf>
    <xf numFmtId="3" fontId="12" fillId="0" borderId="0" xfId="0" applyNumberFormat="1" applyFont="1" applyFill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12" fillId="0" borderId="76" xfId="0" applyFont="1" applyFill="1" applyBorder="1" applyAlignment="1">
      <alignment horizontal="left" vertical="center"/>
    </xf>
    <xf numFmtId="0" fontId="12" fillId="0" borderId="34" xfId="0" quotePrefix="1" applyFont="1" applyFill="1" applyBorder="1" applyAlignment="1">
      <alignment horizontal="center" vertical="center"/>
    </xf>
    <xf numFmtId="0" fontId="12" fillId="0" borderId="52" xfId="0" applyFont="1" applyFill="1" applyBorder="1" applyAlignment="1">
      <alignment horizontal="left" vertical="center" wrapText="1"/>
    </xf>
    <xf numFmtId="0" fontId="12" fillId="0" borderId="34" xfId="0" applyFont="1" applyFill="1" applyBorder="1" applyAlignment="1">
      <alignment horizontal="left" vertical="center"/>
    </xf>
    <xf numFmtId="41" fontId="12" fillId="0" borderId="43" xfId="2" applyFont="1" applyFill="1" applyBorder="1" applyAlignment="1">
      <alignment vertical="center"/>
    </xf>
    <xf numFmtId="0" fontId="12" fillId="0" borderId="43" xfId="0" applyFont="1" applyFill="1" applyBorder="1" applyAlignment="1">
      <alignment vertical="center"/>
    </xf>
    <xf numFmtId="41" fontId="12" fillId="0" borderId="43" xfId="0" applyNumberFormat="1" applyFont="1" applyFill="1" applyBorder="1">
      <alignment vertical="center"/>
    </xf>
    <xf numFmtId="0" fontId="12" fillId="0" borderId="51" xfId="0" applyFont="1" applyBorder="1" applyAlignment="1">
      <alignment vertical="center"/>
    </xf>
    <xf numFmtId="178" fontId="16" fillId="0" borderId="45" xfId="1" applyNumberFormat="1" applyFont="1" applyBorder="1" applyAlignment="1">
      <alignment horizontal="right" vertical="center"/>
    </xf>
    <xf numFmtId="41" fontId="16" fillId="0" borderId="31" xfId="1" applyFont="1" applyBorder="1" applyAlignment="1">
      <alignment horizontal="center" vertical="center"/>
    </xf>
    <xf numFmtId="0" fontId="15" fillId="0" borderId="28" xfId="0" applyFont="1" applyBorder="1" applyAlignment="1">
      <alignment vertical="top"/>
    </xf>
    <xf numFmtId="0" fontId="15" fillId="0" borderId="22" xfId="0" applyFont="1" applyBorder="1" applyAlignment="1">
      <alignment vertical="top"/>
    </xf>
    <xf numFmtId="41" fontId="16" fillId="0" borderId="1" xfId="1" applyFont="1" applyBorder="1" applyAlignment="1">
      <alignment horizontal="center" vertical="center"/>
    </xf>
    <xf numFmtId="41" fontId="16" fillId="0" borderId="58" xfId="1" applyFont="1" applyFill="1" applyBorder="1" applyAlignment="1">
      <alignment horizontal="center" vertical="center"/>
    </xf>
    <xf numFmtId="41" fontId="16" fillId="0" borderId="58" xfId="1" applyNumberFormat="1" applyFont="1" applyFill="1" applyBorder="1" applyAlignment="1">
      <alignment horizontal="center" vertical="center"/>
    </xf>
    <xf numFmtId="0" fontId="12" fillId="0" borderId="57" xfId="0" applyFont="1" applyFill="1" applyBorder="1" applyAlignment="1">
      <alignment horizontal="center" vertical="center"/>
    </xf>
    <xf numFmtId="41" fontId="8" fillId="3" borderId="45" xfId="1" applyFont="1" applyFill="1" applyBorder="1" applyAlignment="1">
      <alignment horizontal="center" vertical="center"/>
    </xf>
    <xf numFmtId="0" fontId="12" fillId="0" borderId="57" xfId="0" applyFont="1" applyFill="1" applyBorder="1" applyAlignment="1">
      <alignment horizontal="center" vertical="center" wrapText="1"/>
    </xf>
    <xf numFmtId="41" fontId="8" fillId="0" borderId="45" xfId="1" applyFont="1" applyBorder="1">
      <alignment vertical="center"/>
    </xf>
    <xf numFmtId="0" fontId="12" fillId="0" borderId="57" xfId="0" applyFont="1" applyFill="1" applyBorder="1" applyAlignment="1">
      <alignment horizontal="center" vertical="center" shrinkToFit="1"/>
    </xf>
    <xf numFmtId="41" fontId="8" fillId="0" borderId="0" xfId="1" applyFont="1" applyFill="1">
      <alignment vertical="center"/>
    </xf>
    <xf numFmtId="0" fontId="13" fillId="0" borderId="57" xfId="0" applyFont="1" applyFill="1" applyBorder="1" applyAlignment="1">
      <alignment horizontal="center" vertical="center" shrinkToFit="1"/>
    </xf>
    <xf numFmtId="41" fontId="8" fillId="0" borderId="0" xfId="1" applyFont="1" applyFill="1" applyAlignment="1">
      <alignment vertical="center"/>
    </xf>
    <xf numFmtId="0" fontId="13" fillId="0" borderId="57" xfId="0" applyFont="1" applyFill="1" applyBorder="1" applyAlignment="1">
      <alignment horizontal="center" vertical="center" wrapText="1"/>
    </xf>
    <xf numFmtId="0" fontId="13" fillId="0" borderId="57" xfId="0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 wrapText="1"/>
    </xf>
    <xf numFmtId="41" fontId="8" fillId="3" borderId="30" xfId="1" applyFont="1" applyFill="1" applyBorder="1" applyAlignment="1">
      <alignment horizontal="center" vertical="center"/>
    </xf>
    <xf numFmtId="178" fontId="12" fillId="0" borderId="45" xfId="1" applyNumberFormat="1" applyFont="1" applyBorder="1" applyAlignment="1">
      <alignment horizontal="right" vertical="center"/>
    </xf>
    <xf numFmtId="0" fontId="12" fillId="0" borderId="36" xfId="0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 shrinkToFit="1"/>
    </xf>
    <xf numFmtId="41" fontId="16" fillId="0" borderId="45" xfId="1" applyFont="1" applyFill="1" applyBorder="1" applyAlignment="1">
      <alignment vertical="center" wrapText="1"/>
    </xf>
    <xf numFmtId="41" fontId="16" fillId="0" borderId="30" xfId="1" applyFont="1" applyFill="1" applyBorder="1" applyAlignment="1">
      <alignment vertical="center" wrapText="1"/>
    </xf>
    <xf numFmtId="177" fontId="16" fillId="0" borderId="30" xfId="1" applyNumberFormat="1" applyFont="1" applyBorder="1" applyAlignment="1">
      <alignment horizontal="right" vertical="center" wrapText="1"/>
    </xf>
    <xf numFmtId="178" fontId="16" fillId="0" borderId="30" xfId="1" applyNumberFormat="1" applyFont="1" applyBorder="1" applyAlignment="1">
      <alignment horizontal="right" vertical="center" wrapText="1"/>
    </xf>
    <xf numFmtId="41" fontId="16" fillId="0" borderId="52" xfId="1" applyFont="1" applyBorder="1" applyAlignment="1">
      <alignment horizontal="center" vertical="center"/>
    </xf>
    <xf numFmtId="41" fontId="8" fillId="0" borderId="30" xfId="1" applyFont="1" applyFill="1" applyBorder="1" applyAlignment="1">
      <alignment vertical="center"/>
    </xf>
    <xf numFmtId="41" fontId="8" fillId="0" borderId="24" xfId="1" applyFont="1" applyFill="1" applyBorder="1" applyAlignment="1">
      <alignment vertical="center"/>
    </xf>
    <xf numFmtId="41" fontId="8" fillId="0" borderId="40" xfId="1" applyFont="1" applyFill="1" applyBorder="1" applyAlignment="1">
      <alignment vertical="center"/>
    </xf>
    <xf numFmtId="41" fontId="8" fillId="0" borderId="35" xfId="1" applyFont="1" applyFill="1" applyBorder="1" applyAlignment="1">
      <alignment vertical="center"/>
    </xf>
    <xf numFmtId="41" fontId="8" fillId="0" borderId="56" xfId="1" applyFont="1" applyFill="1" applyBorder="1" applyAlignment="1">
      <alignment vertical="center"/>
    </xf>
    <xf numFmtId="0" fontId="12" fillId="0" borderId="72" xfId="0" applyFont="1" applyBorder="1" applyAlignment="1">
      <alignment horizontal="left" vertical="center"/>
    </xf>
    <xf numFmtId="41" fontId="12" fillId="0" borderId="55" xfId="2" applyFont="1" applyBorder="1">
      <alignment vertical="center"/>
    </xf>
    <xf numFmtId="0" fontId="12" fillId="0" borderId="55" xfId="0" applyFont="1" applyBorder="1">
      <alignment vertical="center"/>
    </xf>
    <xf numFmtId="41" fontId="12" fillId="0" borderId="55" xfId="0" applyNumberFormat="1" applyFont="1" applyBorder="1">
      <alignment vertical="center"/>
    </xf>
    <xf numFmtId="41" fontId="8" fillId="0" borderId="21" xfId="2" applyFont="1" applyBorder="1" applyAlignment="1">
      <alignment vertical="center" wrapText="1"/>
    </xf>
    <xf numFmtId="0" fontId="16" fillId="0" borderId="22" xfId="0" applyFont="1" applyBorder="1" applyAlignment="1">
      <alignment vertical="center"/>
    </xf>
    <xf numFmtId="0" fontId="2" fillId="0" borderId="42" xfId="0" applyFont="1" applyBorder="1" applyAlignment="1">
      <alignment vertical="center" wrapText="1"/>
    </xf>
    <xf numFmtId="41" fontId="16" fillId="0" borderId="40" xfId="2" applyFont="1" applyFill="1" applyBorder="1" applyAlignment="1">
      <alignment vertical="center" wrapText="1"/>
    </xf>
    <xf numFmtId="177" fontId="16" fillId="0" borderId="51" xfId="2" applyNumberFormat="1" applyFont="1" applyBorder="1" applyAlignment="1">
      <alignment horizontal="right" vertical="center" wrapText="1"/>
    </xf>
    <xf numFmtId="178" fontId="16" fillId="0" borderId="40" xfId="1" applyNumberFormat="1" applyFont="1" applyBorder="1" applyAlignment="1">
      <alignment horizontal="right" vertical="center" wrapText="1"/>
    </xf>
    <xf numFmtId="0" fontId="13" fillId="0" borderId="50" xfId="0" applyFont="1" applyBorder="1" applyAlignment="1">
      <alignment horizontal="left" vertical="center"/>
    </xf>
    <xf numFmtId="0" fontId="2" fillId="0" borderId="33" xfId="0" applyFont="1" applyBorder="1" applyAlignment="1">
      <alignment vertical="center" wrapText="1"/>
    </xf>
    <xf numFmtId="41" fontId="16" fillId="0" borderId="45" xfId="2" applyFont="1" applyFill="1" applyBorder="1" applyAlignment="1">
      <alignment vertical="center" wrapText="1"/>
    </xf>
    <xf numFmtId="177" fontId="16" fillId="0" borderId="48" xfId="2" applyNumberFormat="1" applyFont="1" applyBorder="1" applyAlignment="1">
      <alignment horizontal="right" vertical="center" wrapText="1"/>
    </xf>
    <xf numFmtId="178" fontId="16" fillId="0" borderId="45" xfId="1" applyNumberFormat="1" applyFont="1" applyBorder="1" applyAlignment="1">
      <alignment horizontal="right" vertical="center" wrapText="1"/>
    </xf>
    <xf numFmtId="0" fontId="13" fillId="0" borderId="44" xfId="0" applyFont="1" applyBorder="1" applyAlignment="1">
      <alignment horizontal="left" vertical="center"/>
    </xf>
    <xf numFmtId="0" fontId="2" fillId="0" borderId="28" xfId="0" applyFont="1" applyBorder="1" applyAlignment="1">
      <alignment vertical="center" wrapText="1"/>
    </xf>
    <xf numFmtId="177" fontId="16" fillId="0" borderId="77" xfId="2" applyNumberFormat="1" applyFont="1" applyBorder="1" applyAlignment="1">
      <alignment horizontal="right" vertical="center" wrapText="1"/>
    </xf>
    <xf numFmtId="0" fontId="13" fillId="0" borderId="29" xfId="0" applyFont="1" applyBorder="1" applyAlignment="1">
      <alignment horizontal="left" vertical="center"/>
    </xf>
    <xf numFmtId="0" fontId="2" fillId="0" borderId="32" xfId="0" applyFont="1" applyBorder="1" applyAlignment="1">
      <alignment vertical="center" wrapText="1"/>
    </xf>
    <xf numFmtId="41" fontId="8" fillId="0" borderId="72" xfId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2" fillId="0" borderId="78" xfId="0" applyFont="1" applyBorder="1" applyAlignment="1">
      <alignment vertical="center" wrapText="1"/>
    </xf>
    <xf numFmtId="41" fontId="16" fillId="0" borderId="61" xfId="2" applyFont="1" applyFill="1" applyBorder="1" applyAlignment="1">
      <alignment vertical="center" wrapText="1"/>
    </xf>
    <xf numFmtId="178" fontId="16" fillId="0" borderId="61" xfId="1" applyNumberFormat="1" applyFont="1" applyBorder="1" applyAlignment="1">
      <alignment horizontal="right" vertical="center" wrapText="1"/>
    </xf>
    <xf numFmtId="0" fontId="13" fillId="0" borderId="79" xfId="0" applyFont="1" applyBorder="1" applyAlignment="1">
      <alignment horizontal="left" vertical="center"/>
    </xf>
    <xf numFmtId="41" fontId="12" fillId="0" borderId="80" xfId="2" applyFont="1" applyBorder="1">
      <alignment vertical="center"/>
    </xf>
    <xf numFmtId="0" fontId="12" fillId="0" borderId="80" xfId="0" applyFont="1" applyBorder="1">
      <alignment vertical="center"/>
    </xf>
    <xf numFmtId="0" fontId="17" fillId="0" borderId="80" xfId="0" applyFont="1" applyBorder="1" applyAlignment="1">
      <alignment horizontal="center" vertical="center"/>
    </xf>
    <xf numFmtId="0" fontId="12" fillId="0" borderId="80" xfId="0" applyFont="1" applyBorder="1" applyAlignment="1">
      <alignment horizontal="center" vertical="center"/>
    </xf>
    <xf numFmtId="0" fontId="12" fillId="0" borderId="80" xfId="0" quotePrefix="1" applyFont="1" applyBorder="1" applyAlignment="1">
      <alignment horizontal="center" vertical="center"/>
    </xf>
    <xf numFmtId="0" fontId="12" fillId="0" borderId="77" xfId="0" applyFont="1" applyBorder="1">
      <alignment vertical="center"/>
    </xf>
    <xf numFmtId="41" fontId="8" fillId="0" borderId="0" xfId="1" applyFont="1" applyBorder="1" applyAlignment="1">
      <alignment horizontal="center" vertical="center"/>
    </xf>
    <xf numFmtId="41" fontId="8" fillId="0" borderId="0" xfId="1" applyFont="1" applyFill="1" applyBorder="1" applyAlignment="1">
      <alignment horizontal="center" vertical="center"/>
    </xf>
    <xf numFmtId="177" fontId="8" fillId="0" borderId="0" xfId="1" applyNumberFormat="1" applyFont="1" applyBorder="1" applyAlignment="1">
      <alignment horizontal="right" vertical="center"/>
    </xf>
    <xf numFmtId="178" fontId="8" fillId="0" borderId="0" xfId="1" applyNumberFormat="1" applyFont="1" applyBorder="1" applyAlignment="1">
      <alignment horizontal="right" vertical="center"/>
    </xf>
    <xf numFmtId="41" fontId="8" fillId="0" borderId="0" xfId="0" applyNumberFormat="1" applyFont="1" applyBorder="1" applyAlignment="1">
      <alignment horizontal="left" vertical="center"/>
    </xf>
    <xf numFmtId="43" fontId="12" fillId="0" borderId="0" xfId="0" applyNumberFormat="1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41" fontId="13" fillId="0" borderId="0" xfId="0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  <xf numFmtId="178" fontId="8" fillId="0" borderId="0" xfId="1" applyNumberFormat="1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0" fontId="12" fillId="0" borderId="34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41" fontId="8" fillId="0" borderId="24" xfId="1" applyFont="1" applyBorder="1" applyAlignment="1">
      <alignment horizontal="center" vertical="center"/>
    </xf>
    <xf numFmtId="41" fontId="8" fillId="0" borderId="25" xfId="1" applyFont="1" applyFill="1" applyBorder="1" applyAlignment="1">
      <alignment horizontal="center" vertical="center"/>
    </xf>
    <xf numFmtId="41" fontId="8" fillId="0" borderId="28" xfId="2" applyFont="1" applyFill="1" applyBorder="1" applyAlignment="1">
      <alignment horizontal="center" vertical="center"/>
    </xf>
    <xf numFmtId="41" fontId="8" fillId="0" borderId="22" xfId="2" applyFont="1" applyFill="1" applyBorder="1" applyAlignment="1">
      <alignment horizontal="center" vertical="center"/>
    </xf>
    <xf numFmtId="3" fontId="8" fillId="0" borderId="22" xfId="1" applyNumberFormat="1" applyFont="1" applyFill="1" applyBorder="1" applyAlignment="1">
      <alignment horizontal="right" vertical="center"/>
    </xf>
    <xf numFmtId="176" fontId="8" fillId="0" borderId="33" xfId="1" applyNumberFormat="1" applyFont="1" applyBorder="1" applyAlignment="1">
      <alignment horizontal="right" vertical="center"/>
    </xf>
    <xf numFmtId="176" fontId="8" fillId="0" borderId="28" xfId="1" applyNumberFormat="1" applyFont="1" applyBorder="1" applyAlignment="1">
      <alignment horizontal="right" vertical="center"/>
    </xf>
    <xf numFmtId="0" fontId="12" fillId="0" borderId="34" xfId="0" applyFont="1" applyFill="1" applyBorder="1" applyAlignment="1">
      <alignment horizontal="center" vertical="center"/>
    </xf>
    <xf numFmtId="41" fontId="8" fillId="0" borderId="30" xfId="1" applyFont="1" applyBorder="1" applyAlignment="1">
      <alignment horizontal="center" vertical="center"/>
    </xf>
    <xf numFmtId="176" fontId="8" fillId="0" borderId="22" xfId="1" applyNumberFormat="1" applyFont="1" applyBorder="1" applyAlignment="1">
      <alignment horizontal="right" vertical="center"/>
    </xf>
    <xf numFmtId="0" fontId="12" fillId="0" borderId="37" xfId="0" applyFont="1" applyBorder="1" applyAlignment="1">
      <alignment horizontal="center" vertical="center"/>
    </xf>
    <xf numFmtId="3" fontId="8" fillId="0" borderId="42" xfId="1" applyNumberFormat="1" applyFont="1" applyFill="1" applyBorder="1" applyAlignment="1">
      <alignment horizontal="right" vertical="center"/>
    </xf>
    <xf numFmtId="41" fontId="8" fillId="0" borderId="21" xfId="1" applyFont="1" applyFill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12" fillId="0" borderId="52" xfId="0" applyFont="1" applyFill="1" applyBorder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4" fillId="0" borderId="23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77" fontId="8" fillId="0" borderId="30" xfId="1" applyNumberFormat="1" applyFont="1" applyBorder="1" applyAlignment="1">
      <alignment horizontal="right" vertical="center"/>
    </xf>
    <xf numFmtId="177" fontId="8" fillId="0" borderId="24" xfId="1" applyNumberFormat="1" applyFont="1" applyBorder="1" applyAlignment="1">
      <alignment horizontal="right" vertical="center"/>
    </xf>
    <xf numFmtId="177" fontId="8" fillId="0" borderId="40" xfId="1" applyNumberFormat="1" applyFont="1" applyBorder="1" applyAlignment="1">
      <alignment horizontal="right" vertical="center"/>
    </xf>
    <xf numFmtId="178" fontId="8" fillId="0" borderId="30" xfId="1" applyNumberFormat="1" applyFont="1" applyBorder="1" applyAlignment="1">
      <alignment horizontal="right" vertical="center"/>
    </xf>
    <xf numFmtId="178" fontId="8" fillId="0" borderId="24" xfId="1" applyNumberFormat="1" applyFont="1" applyBorder="1" applyAlignment="1">
      <alignment horizontal="right" vertical="center"/>
    </xf>
    <xf numFmtId="41" fontId="8" fillId="0" borderId="30" xfId="1" applyFont="1" applyFill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41" fontId="8" fillId="0" borderId="24" xfId="1" applyFont="1" applyFill="1" applyBorder="1" applyAlignment="1">
      <alignment horizontal="center" vertical="center"/>
    </xf>
    <xf numFmtId="41" fontId="8" fillId="3" borderId="30" xfId="2" applyFont="1" applyFill="1" applyBorder="1" applyAlignment="1">
      <alignment horizontal="center" vertical="center"/>
    </xf>
    <xf numFmtId="41" fontId="8" fillId="3" borderId="24" xfId="2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41" fontId="8" fillId="3" borderId="40" xfId="2" applyFont="1" applyFill="1" applyBorder="1" applyAlignment="1">
      <alignment horizontal="center" vertical="center"/>
    </xf>
    <xf numFmtId="0" fontId="12" fillId="0" borderId="50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177" fontId="8" fillId="0" borderId="45" xfId="2" applyNumberFormat="1" applyFont="1" applyBorder="1" applyAlignment="1">
      <alignment horizontal="right" vertical="center"/>
    </xf>
    <xf numFmtId="0" fontId="8" fillId="0" borderId="23" xfId="0" applyFont="1" applyBorder="1" applyAlignment="1">
      <alignment horizontal="center" vertical="center" wrapText="1"/>
    </xf>
    <xf numFmtId="41" fontId="8" fillId="3" borderId="24" xfId="2" applyFont="1" applyFill="1" applyBorder="1" applyAlignment="1">
      <alignment horizontal="center" vertical="center" wrapText="1"/>
    </xf>
    <xf numFmtId="41" fontId="8" fillId="3" borderId="45" xfId="2" applyFont="1" applyFill="1" applyBorder="1" applyAlignment="1">
      <alignment horizontal="center" vertical="center"/>
    </xf>
    <xf numFmtId="178" fontId="8" fillId="0" borderId="45" xfId="2" applyNumberFormat="1" applyFont="1" applyBorder="1" applyAlignment="1">
      <alignment horizontal="right" vertical="center"/>
    </xf>
    <xf numFmtId="41" fontId="8" fillId="0" borderId="45" xfId="1" applyFont="1" applyFill="1" applyBorder="1" applyAlignment="1">
      <alignment horizontal="center" vertical="center"/>
    </xf>
    <xf numFmtId="41" fontId="8" fillId="0" borderId="45" xfId="1" applyFont="1" applyBorder="1" applyAlignment="1">
      <alignment horizontal="center" vertical="center"/>
    </xf>
    <xf numFmtId="177" fontId="8" fillId="0" borderId="45" xfId="1" applyNumberFormat="1" applyFont="1" applyBorder="1" applyAlignment="1">
      <alignment horizontal="right" vertical="center"/>
    </xf>
    <xf numFmtId="178" fontId="8" fillId="0" borderId="45" xfId="1" applyNumberFormat="1" applyFont="1" applyBorder="1" applyAlignment="1">
      <alignment horizontal="right" vertical="center"/>
    </xf>
    <xf numFmtId="41" fontId="12" fillId="0" borderId="43" xfId="2" applyFont="1" applyBorder="1" applyAlignment="1">
      <alignment vertical="center"/>
    </xf>
    <xf numFmtId="0" fontId="12" fillId="2" borderId="23" xfId="0" applyFont="1" applyFill="1" applyBorder="1" applyAlignment="1">
      <alignment horizontal="left" vertical="center"/>
    </xf>
    <xf numFmtId="41" fontId="12" fillId="2" borderId="0" xfId="2" applyFont="1" applyFill="1" applyBorder="1">
      <alignment vertical="center"/>
    </xf>
    <xf numFmtId="0" fontId="12" fillId="2" borderId="0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2" fillId="2" borderId="0" xfId="0" quotePrefix="1" applyFont="1" applyFill="1" applyBorder="1" applyAlignment="1">
      <alignment horizontal="center" vertical="center"/>
    </xf>
    <xf numFmtId="0" fontId="12" fillId="2" borderId="27" xfId="0" applyFont="1" applyFill="1" applyBorder="1">
      <alignment vertical="center"/>
    </xf>
    <xf numFmtId="0" fontId="12" fillId="0" borderId="23" xfId="0" applyFont="1" applyFill="1" applyBorder="1">
      <alignment vertical="center"/>
    </xf>
    <xf numFmtId="0" fontId="13" fillId="0" borderId="10" xfId="0" applyFont="1" applyBorder="1">
      <alignment vertical="center"/>
    </xf>
    <xf numFmtId="41" fontId="12" fillId="0" borderId="55" xfId="2" applyFont="1" applyFill="1" applyBorder="1">
      <alignment vertical="center"/>
    </xf>
    <xf numFmtId="0" fontId="12" fillId="0" borderId="55" xfId="0" applyFont="1" applyFill="1" applyBorder="1" applyAlignment="1">
      <alignment horizontal="center" vertical="center"/>
    </xf>
    <xf numFmtId="0" fontId="17" fillId="0" borderId="55" xfId="0" applyFont="1" applyFill="1" applyBorder="1" applyAlignment="1">
      <alignment horizontal="center" vertical="center"/>
    </xf>
    <xf numFmtId="0" fontId="12" fillId="0" borderId="55" xfId="0" quotePrefix="1" applyFont="1" applyFill="1" applyBorder="1" applyAlignment="1">
      <alignment horizontal="center" vertical="center"/>
    </xf>
    <xf numFmtId="0" fontId="12" fillId="0" borderId="56" xfId="0" applyFont="1" applyFill="1" applyBorder="1">
      <alignment vertical="center"/>
    </xf>
    <xf numFmtId="0" fontId="12" fillId="0" borderId="55" xfId="0" applyFont="1" applyBorder="1" applyAlignment="1">
      <alignment horizontal="left" vertical="center"/>
    </xf>
    <xf numFmtId="41" fontId="12" fillId="0" borderId="0" xfId="0" applyNumberFormat="1" applyFont="1" applyBorder="1" applyAlignment="1">
      <alignment horizontal="center" vertical="center"/>
    </xf>
    <xf numFmtId="0" fontId="13" fillId="0" borderId="70" xfId="0" applyFont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top" wrapText="1"/>
    </xf>
    <xf numFmtId="41" fontId="12" fillId="0" borderId="0" xfId="2" applyFont="1" applyFill="1" applyBorder="1" applyAlignment="1">
      <alignment vertical="center"/>
    </xf>
    <xf numFmtId="0" fontId="12" fillId="0" borderId="27" xfId="0" applyFont="1" applyBorder="1" applyAlignment="1">
      <alignment vertical="center"/>
    </xf>
    <xf numFmtId="0" fontId="12" fillId="0" borderId="52" xfId="0" applyFont="1" applyBorder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12" fillId="0" borderId="50" xfId="0" applyFont="1" applyBorder="1" applyAlignment="1">
      <alignment vertical="center" wrapText="1"/>
    </xf>
    <xf numFmtId="41" fontId="12" fillId="0" borderId="43" xfId="1" applyFont="1" applyBorder="1" applyAlignment="1">
      <alignment vertical="center" shrinkToFit="1"/>
    </xf>
    <xf numFmtId="0" fontId="12" fillId="0" borderId="34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41" fontId="8" fillId="0" borderId="24" xfId="1" applyFont="1" applyBorder="1" applyAlignment="1">
      <alignment horizontal="center" vertical="center"/>
    </xf>
    <xf numFmtId="41" fontId="8" fillId="0" borderId="11" xfId="1" applyFont="1" applyBorder="1" applyAlignment="1">
      <alignment horizontal="center" vertical="center"/>
    </xf>
    <xf numFmtId="41" fontId="8" fillId="0" borderId="25" xfId="1" applyFont="1" applyFill="1" applyBorder="1" applyAlignment="1">
      <alignment horizontal="center" vertical="center"/>
    </xf>
    <xf numFmtId="41" fontId="8" fillId="0" borderId="13" xfId="1" applyFont="1" applyFill="1" applyBorder="1" applyAlignment="1">
      <alignment horizontal="center" vertical="center"/>
    </xf>
    <xf numFmtId="41" fontId="8" fillId="0" borderId="28" xfId="2" applyFont="1" applyFill="1" applyBorder="1" applyAlignment="1">
      <alignment horizontal="center" vertical="center"/>
    </xf>
    <xf numFmtId="41" fontId="8" fillId="0" borderId="22" xfId="2" applyFont="1" applyFill="1" applyBorder="1" applyAlignment="1">
      <alignment horizontal="center" vertical="center"/>
    </xf>
    <xf numFmtId="41" fontId="8" fillId="0" borderId="9" xfId="2" applyFont="1" applyFill="1" applyBorder="1" applyAlignment="1">
      <alignment horizontal="center" vertical="center"/>
    </xf>
    <xf numFmtId="3" fontId="8" fillId="0" borderId="22" xfId="1" applyNumberFormat="1" applyFont="1" applyFill="1" applyBorder="1" applyAlignment="1">
      <alignment horizontal="right" vertical="center"/>
    </xf>
    <xf numFmtId="3" fontId="8" fillId="0" borderId="9" xfId="1" applyNumberFormat="1" applyFont="1" applyFill="1" applyBorder="1" applyAlignment="1">
      <alignment horizontal="right" vertical="center"/>
    </xf>
    <xf numFmtId="176" fontId="8" fillId="0" borderId="33" xfId="1" applyNumberFormat="1" applyFont="1" applyBorder="1" applyAlignment="1">
      <alignment horizontal="right" vertical="center"/>
    </xf>
    <xf numFmtId="176" fontId="8" fillId="0" borderId="28" xfId="1" applyNumberFormat="1" applyFont="1" applyBorder="1" applyAlignment="1">
      <alignment horizontal="right" vertical="center"/>
    </xf>
    <xf numFmtId="176" fontId="8" fillId="0" borderId="12" xfId="1" applyNumberFormat="1" applyFont="1" applyBorder="1" applyAlignment="1">
      <alignment horizontal="right" vertical="center"/>
    </xf>
    <xf numFmtId="0" fontId="12" fillId="0" borderId="36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41" fontId="8" fillId="0" borderId="30" xfId="1" applyFont="1" applyBorder="1" applyAlignment="1">
      <alignment horizontal="center" vertical="center"/>
    </xf>
    <xf numFmtId="41" fontId="8" fillId="0" borderId="32" xfId="1" applyFont="1" applyFill="1" applyBorder="1" applyAlignment="1">
      <alignment horizontal="center" vertical="center"/>
    </xf>
    <xf numFmtId="41" fontId="8" fillId="0" borderId="42" xfId="2" applyFont="1" applyFill="1" applyBorder="1" applyAlignment="1">
      <alignment horizontal="center" vertical="center"/>
    </xf>
    <xf numFmtId="3" fontId="8" fillId="0" borderId="28" xfId="1" applyNumberFormat="1" applyFont="1" applyFill="1" applyBorder="1" applyAlignment="1">
      <alignment horizontal="right" vertical="center"/>
    </xf>
    <xf numFmtId="3" fontId="8" fillId="0" borderId="42" xfId="1" applyNumberFormat="1" applyFont="1" applyFill="1" applyBorder="1" applyAlignment="1">
      <alignment horizontal="right" vertical="center"/>
    </xf>
    <xf numFmtId="176" fontId="8" fillId="0" borderId="22" xfId="1" applyNumberFormat="1" applyFont="1" applyBorder="1" applyAlignment="1">
      <alignment horizontal="right" vertical="center"/>
    </xf>
    <xf numFmtId="0" fontId="12" fillId="0" borderId="34" xfId="0" applyFont="1" applyFill="1" applyBorder="1" applyAlignment="1">
      <alignment horizontal="center" vertical="center"/>
    </xf>
    <xf numFmtId="176" fontId="8" fillId="0" borderId="9" xfId="1" applyNumberFormat="1" applyFont="1" applyBorder="1" applyAlignment="1">
      <alignment horizontal="right" vertical="center"/>
    </xf>
    <xf numFmtId="0" fontId="12" fillId="0" borderId="29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41" fontId="8" fillId="0" borderId="40" xfId="1" applyFont="1" applyBorder="1" applyAlignment="1">
      <alignment horizontal="center" vertical="center"/>
    </xf>
    <xf numFmtId="41" fontId="8" fillId="0" borderId="31" xfId="1" applyFont="1" applyFill="1" applyBorder="1" applyAlignment="1">
      <alignment horizontal="center" vertical="center"/>
    </xf>
    <xf numFmtId="41" fontId="8" fillId="0" borderId="21" xfId="1" applyFont="1" applyFill="1" applyBorder="1" applyAlignment="1">
      <alignment horizontal="center" vertical="center"/>
    </xf>
    <xf numFmtId="41" fontId="8" fillId="0" borderId="41" xfId="1" applyFont="1" applyFill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176" fontId="8" fillId="0" borderId="42" xfId="1" applyNumberFormat="1" applyFont="1" applyBorder="1" applyAlignment="1">
      <alignment horizontal="right" vertical="center"/>
    </xf>
    <xf numFmtId="0" fontId="12" fillId="0" borderId="52" xfId="0" applyFont="1" applyFill="1" applyBorder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177" fontId="8" fillId="0" borderId="31" xfId="1" applyNumberFormat="1" applyFont="1" applyFill="1" applyBorder="1" applyAlignment="1">
      <alignment horizontal="right" vertical="center"/>
    </xf>
    <xf numFmtId="177" fontId="8" fillId="0" borderId="21" xfId="1" applyNumberFormat="1" applyFont="1" applyFill="1" applyBorder="1" applyAlignment="1">
      <alignment horizontal="right" vertical="center"/>
    </xf>
    <xf numFmtId="0" fontId="16" fillId="0" borderId="47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 wrapText="1"/>
    </xf>
    <xf numFmtId="41" fontId="8" fillId="0" borderId="38" xfId="1" applyFont="1" applyFill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3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 wrapText="1"/>
    </xf>
    <xf numFmtId="176" fontId="8" fillId="0" borderId="28" xfId="0" applyNumberFormat="1" applyFont="1" applyBorder="1" applyAlignment="1">
      <alignment horizontal="right" vertical="center"/>
    </xf>
    <xf numFmtId="176" fontId="8" fillId="0" borderId="22" xfId="0" applyNumberFormat="1" applyFont="1" applyBorder="1" applyAlignment="1">
      <alignment horizontal="right" vertical="center"/>
    </xf>
    <xf numFmtId="176" fontId="8" fillId="0" borderId="42" xfId="0" applyNumberFormat="1" applyFont="1" applyBorder="1" applyAlignment="1">
      <alignment horizontal="right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1" fontId="11" fillId="0" borderId="4" xfId="1" applyFont="1" applyBorder="1" applyAlignment="1">
      <alignment horizontal="center" vertical="center" wrapText="1"/>
    </xf>
    <xf numFmtId="41" fontId="11" fillId="0" borderId="11" xfId="1" applyFont="1" applyBorder="1" applyAlignment="1">
      <alignment horizontal="center" vertical="center" wrapText="1"/>
    </xf>
    <xf numFmtId="41" fontId="11" fillId="0" borderId="2" xfId="2" applyFont="1" applyFill="1" applyBorder="1" applyAlignment="1">
      <alignment horizontal="center" vertical="center" wrapText="1"/>
    </xf>
    <xf numFmtId="41" fontId="11" fillId="0" borderId="9" xfId="2" applyFont="1" applyFill="1" applyBorder="1" applyAlignment="1">
      <alignment horizontal="center" vertical="center" wrapText="1"/>
    </xf>
    <xf numFmtId="41" fontId="11" fillId="0" borderId="5" xfId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177" fontId="8" fillId="0" borderId="30" xfId="1" applyNumberFormat="1" applyFont="1" applyBorder="1" applyAlignment="1">
      <alignment horizontal="right" vertical="center"/>
    </xf>
    <xf numFmtId="177" fontId="8" fillId="0" borderId="24" xfId="1" applyNumberFormat="1" applyFont="1" applyBorder="1" applyAlignment="1">
      <alignment horizontal="right" vertical="center"/>
    </xf>
    <xf numFmtId="177" fontId="8" fillId="0" borderId="40" xfId="1" applyNumberFormat="1" applyFont="1" applyBorder="1" applyAlignment="1">
      <alignment horizontal="right" vertical="center"/>
    </xf>
    <xf numFmtId="178" fontId="8" fillId="0" borderId="30" xfId="1" applyNumberFormat="1" applyFont="1" applyBorder="1" applyAlignment="1">
      <alignment horizontal="right" vertical="center"/>
    </xf>
    <xf numFmtId="178" fontId="8" fillId="0" borderId="24" xfId="1" applyNumberFormat="1" applyFont="1" applyBorder="1" applyAlignment="1">
      <alignment horizontal="right" vertical="center"/>
    </xf>
    <xf numFmtId="178" fontId="8" fillId="0" borderId="40" xfId="1" applyNumberFormat="1" applyFont="1" applyBorder="1" applyAlignment="1">
      <alignment horizontal="right" vertical="center"/>
    </xf>
    <xf numFmtId="0" fontId="12" fillId="0" borderId="14" xfId="0" applyFont="1" applyBorder="1" applyAlignment="1">
      <alignment horizontal="center" vertical="center" wrapText="1"/>
    </xf>
    <xf numFmtId="177" fontId="8" fillId="0" borderId="30" xfId="1" applyNumberFormat="1" applyFont="1" applyFill="1" applyBorder="1" applyAlignment="1">
      <alignment horizontal="right" vertical="center"/>
    </xf>
    <xf numFmtId="177" fontId="8" fillId="0" borderId="11" xfId="1" applyNumberFormat="1" applyFont="1" applyFill="1" applyBorder="1" applyAlignment="1">
      <alignment horizontal="right" vertical="center"/>
    </xf>
    <xf numFmtId="41" fontId="8" fillId="0" borderId="30" xfId="1" applyFont="1" applyFill="1" applyBorder="1" applyAlignment="1">
      <alignment horizontal="center" vertical="center"/>
    </xf>
    <xf numFmtId="41" fontId="8" fillId="0" borderId="11" xfId="1" applyFont="1" applyFill="1" applyBorder="1" applyAlignment="1">
      <alignment horizontal="center" vertical="center"/>
    </xf>
    <xf numFmtId="177" fontId="8" fillId="0" borderId="11" xfId="1" applyNumberFormat="1" applyFont="1" applyBorder="1" applyAlignment="1">
      <alignment horizontal="right" vertical="center"/>
    </xf>
    <xf numFmtId="178" fontId="8" fillId="0" borderId="11" xfId="1" applyNumberFormat="1" applyFont="1" applyBorder="1" applyAlignment="1">
      <alignment horizontal="right" vertical="center"/>
    </xf>
    <xf numFmtId="0" fontId="16" fillId="0" borderId="5" xfId="0" applyFont="1" applyBorder="1" applyAlignment="1">
      <alignment horizontal="center" vertical="center"/>
    </xf>
    <xf numFmtId="0" fontId="16" fillId="0" borderId="73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41" fontId="8" fillId="0" borderId="30" xfId="1" applyFont="1" applyFill="1" applyBorder="1" applyAlignment="1">
      <alignment horizontal="center" vertical="center" wrapText="1"/>
    </xf>
    <xf numFmtId="41" fontId="8" fillId="0" borderId="24" xfId="1" applyFont="1" applyFill="1" applyBorder="1" applyAlignment="1">
      <alignment horizontal="center" vertical="center" wrapText="1"/>
    </xf>
    <xf numFmtId="41" fontId="8" fillId="0" borderId="40" xfId="1" applyFont="1" applyFill="1" applyBorder="1" applyAlignment="1">
      <alignment horizontal="center" vertical="center" wrapText="1"/>
    </xf>
    <xf numFmtId="41" fontId="8" fillId="0" borderId="24" xfId="1" applyFont="1" applyFill="1" applyBorder="1" applyAlignment="1">
      <alignment horizontal="center" vertical="center"/>
    </xf>
    <xf numFmtId="41" fontId="8" fillId="0" borderId="40" xfId="1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41" fontId="8" fillId="3" borderId="30" xfId="2" applyFont="1" applyFill="1" applyBorder="1" applyAlignment="1">
      <alignment horizontal="center" vertical="center"/>
    </xf>
    <xf numFmtId="41" fontId="8" fillId="3" borderId="24" xfId="2" applyFont="1" applyFill="1" applyBorder="1" applyAlignment="1">
      <alignment horizontal="center" vertical="center"/>
    </xf>
    <xf numFmtId="0" fontId="16" fillId="0" borderId="48" xfId="0" applyFont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 wrapText="1"/>
    </xf>
    <xf numFmtId="0" fontId="8" fillId="0" borderId="39" xfId="0" applyFont="1" applyFill="1" applyBorder="1" applyAlignment="1">
      <alignment horizontal="center" vertical="center" wrapText="1"/>
    </xf>
    <xf numFmtId="181" fontId="8" fillId="0" borderId="30" xfId="1" applyNumberFormat="1" applyFont="1" applyBorder="1" applyAlignment="1">
      <alignment horizontal="right" vertical="center"/>
    </xf>
    <xf numFmtId="181" fontId="8" fillId="0" borderId="40" xfId="1" applyNumberFormat="1" applyFont="1" applyBorder="1" applyAlignment="1">
      <alignment horizontal="right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41" fontId="8" fillId="3" borderId="40" xfId="2" applyFont="1" applyFill="1" applyBorder="1" applyAlignment="1">
      <alignment horizontal="center" vertical="center"/>
    </xf>
    <xf numFmtId="41" fontId="8" fillId="0" borderId="30" xfId="2" applyFont="1" applyFill="1" applyBorder="1" applyAlignment="1">
      <alignment horizontal="center" vertical="center"/>
    </xf>
    <xf numFmtId="41" fontId="8" fillId="0" borderId="24" xfId="2" applyFont="1" applyFill="1" applyBorder="1" applyAlignment="1">
      <alignment horizontal="center" vertical="center"/>
    </xf>
    <xf numFmtId="41" fontId="8" fillId="0" borderId="30" xfId="2" applyFont="1" applyBorder="1" applyAlignment="1">
      <alignment horizontal="center" vertical="center"/>
    </xf>
    <xf numFmtId="41" fontId="8" fillId="0" borderId="24" xfId="2" applyFont="1" applyBorder="1" applyAlignment="1">
      <alignment horizontal="center" vertical="center"/>
    </xf>
    <xf numFmtId="177" fontId="8" fillId="0" borderId="30" xfId="2" applyNumberFormat="1" applyFont="1" applyBorder="1" applyAlignment="1">
      <alignment horizontal="right" vertical="center"/>
    </xf>
    <xf numFmtId="177" fontId="8" fillId="0" borderId="24" xfId="2" applyNumberFormat="1" applyFont="1" applyBorder="1" applyAlignment="1">
      <alignment horizontal="right" vertical="center"/>
    </xf>
    <xf numFmtId="178" fontId="8" fillId="0" borderId="30" xfId="2" applyNumberFormat="1" applyFont="1" applyBorder="1" applyAlignment="1">
      <alignment horizontal="right" vertical="center"/>
    </xf>
    <xf numFmtId="178" fontId="8" fillId="0" borderId="24" xfId="2" applyNumberFormat="1" applyFont="1" applyBorder="1" applyAlignment="1">
      <alignment horizontal="right" vertical="center"/>
    </xf>
    <xf numFmtId="0" fontId="12" fillId="0" borderId="39" xfId="0" applyFont="1" applyBorder="1" applyAlignment="1">
      <alignment horizontal="center" vertical="center" wrapText="1"/>
    </xf>
    <xf numFmtId="41" fontId="8" fillId="0" borderId="40" xfId="2" applyFont="1" applyFill="1" applyBorder="1" applyAlignment="1">
      <alignment horizontal="center" vertical="center"/>
    </xf>
    <xf numFmtId="41" fontId="8" fillId="0" borderId="40" xfId="2" applyFont="1" applyBorder="1" applyAlignment="1">
      <alignment horizontal="center" vertical="center"/>
    </xf>
    <xf numFmtId="177" fontId="8" fillId="0" borderId="40" xfId="2" applyNumberFormat="1" applyFont="1" applyBorder="1" applyAlignment="1">
      <alignment horizontal="right" vertical="center"/>
    </xf>
    <xf numFmtId="178" fontId="8" fillId="0" borderId="40" xfId="2" applyNumberFormat="1" applyFont="1" applyBorder="1" applyAlignment="1">
      <alignment horizontal="right" vertical="center"/>
    </xf>
    <xf numFmtId="0" fontId="12" fillId="0" borderId="50" xfId="0" applyFont="1" applyBorder="1" applyAlignment="1">
      <alignment horizontal="center" vertical="center"/>
    </xf>
    <xf numFmtId="181" fontId="8" fillId="0" borderId="24" xfId="1" applyNumberFormat="1" applyFont="1" applyBorder="1" applyAlignment="1">
      <alignment horizontal="right" vertical="center"/>
    </xf>
    <xf numFmtId="0" fontId="7" fillId="0" borderId="37" xfId="0" applyFont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183" fontId="8" fillId="0" borderId="30" xfId="1" applyNumberFormat="1" applyFont="1" applyBorder="1" applyAlignment="1">
      <alignment horizontal="right" vertical="center"/>
    </xf>
    <xf numFmtId="183" fontId="7" fillId="0" borderId="24" xfId="0" applyNumberFormat="1" applyFont="1" applyBorder="1" applyAlignment="1">
      <alignment horizontal="right" vertical="center"/>
    </xf>
    <xf numFmtId="0" fontId="8" fillId="0" borderId="39" xfId="0" applyFont="1" applyBorder="1" applyAlignment="1">
      <alignment horizontal="center" vertical="center" wrapText="1"/>
    </xf>
    <xf numFmtId="177" fontId="8" fillId="0" borderId="45" xfId="2" applyNumberFormat="1" applyFont="1" applyBorder="1" applyAlignment="1">
      <alignment horizontal="right" vertical="center"/>
    </xf>
    <xf numFmtId="41" fontId="8" fillId="0" borderId="30" xfId="2" applyFont="1" applyFill="1" applyBorder="1" applyAlignment="1">
      <alignment horizontal="right" vertical="center"/>
    </xf>
    <xf numFmtId="41" fontId="8" fillId="0" borderId="24" xfId="2" applyFont="1" applyFill="1" applyBorder="1" applyAlignment="1">
      <alignment horizontal="right" vertical="center"/>
    </xf>
    <xf numFmtId="177" fontId="7" fillId="0" borderId="30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177" fontId="7" fillId="3" borderId="30" xfId="0" applyNumberFormat="1" applyFont="1" applyFill="1" applyBorder="1" applyAlignment="1">
      <alignment horizontal="right" vertical="center"/>
    </xf>
    <xf numFmtId="177" fontId="7" fillId="3" borderId="24" xfId="0" applyNumberFormat="1" applyFont="1" applyFill="1" applyBorder="1" applyAlignment="1">
      <alignment horizontal="right" vertical="center"/>
    </xf>
    <xf numFmtId="181" fontId="8" fillId="0" borderId="30" xfId="2" applyNumberFormat="1" applyFont="1" applyBorder="1" applyAlignment="1">
      <alignment horizontal="right" vertical="center"/>
    </xf>
    <xf numFmtId="181" fontId="8" fillId="0" borderId="24" xfId="2" applyNumberFormat="1" applyFont="1" applyBorder="1" applyAlignment="1">
      <alignment horizontal="right" vertical="center"/>
    </xf>
    <xf numFmtId="0" fontId="23" fillId="0" borderId="23" xfId="0" applyFont="1" applyBorder="1" applyAlignment="1">
      <alignment horizontal="center" vertical="center" wrapText="1"/>
    </xf>
    <xf numFmtId="183" fontId="8" fillId="0" borderId="30" xfId="2" applyNumberFormat="1" applyFont="1" applyBorder="1" applyAlignment="1">
      <alignment horizontal="right" vertical="center"/>
    </xf>
    <xf numFmtId="183" fontId="8" fillId="0" borderId="40" xfId="2" applyNumberFormat="1" applyFont="1" applyBorder="1" applyAlignment="1">
      <alignment horizontal="right" vertical="center"/>
    </xf>
    <xf numFmtId="0" fontId="8" fillId="0" borderId="23" xfId="0" applyFont="1" applyBorder="1" applyAlignment="1">
      <alignment horizontal="center" vertical="center"/>
    </xf>
    <xf numFmtId="0" fontId="8" fillId="0" borderId="24" xfId="2" applyNumberFormat="1" applyFont="1" applyBorder="1" applyAlignment="1">
      <alignment horizontal="right" vertical="center"/>
    </xf>
    <xf numFmtId="0" fontId="8" fillId="0" borderId="40" xfId="2" applyNumberFormat="1" applyFont="1" applyBorder="1" applyAlignment="1">
      <alignment horizontal="right" vertical="center"/>
    </xf>
    <xf numFmtId="0" fontId="8" fillId="0" borderId="29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41" fontId="8" fillId="0" borderId="30" xfId="2" applyFont="1" applyFill="1" applyBorder="1" applyAlignment="1">
      <alignment horizontal="center" vertical="center" wrapText="1"/>
    </xf>
    <xf numFmtId="41" fontId="8" fillId="0" borderId="24" xfId="2" applyFont="1" applyFill="1" applyBorder="1" applyAlignment="1">
      <alignment horizontal="center" vertical="center" wrapText="1"/>
    </xf>
    <xf numFmtId="41" fontId="8" fillId="0" borderId="40" xfId="2" applyFont="1" applyFill="1" applyBorder="1" applyAlignment="1">
      <alignment horizontal="center" vertical="center" wrapText="1"/>
    </xf>
    <xf numFmtId="41" fontId="8" fillId="0" borderId="30" xfId="2" applyFont="1" applyBorder="1" applyAlignment="1">
      <alignment horizontal="center" vertical="center" wrapText="1"/>
    </xf>
    <xf numFmtId="41" fontId="8" fillId="0" borderId="24" xfId="2" applyFont="1" applyBorder="1" applyAlignment="1">
      <alignment horizontal="center" vertical="center" wrapText="1"/>
    </xf>
    <xf numFmtId="41" fontId="8" fillId="0" borderId="40" xfId="2" applyFont="1" applyBorder="1" applyAlignment="1">
      <alignment horizontal="center" vertical="center" wrapText="1"/>
    </xf>
    <xf numFmtId="41" fontId="8" fillId="3" borderId="30" xfId="2" applyFont="1" applyFill="1" applyBorder="1" applyAlignment="1">
      <alignment horizontal="center" vertical="center" wrapText="1"/>
    </xf>
    <xf numFmtId="41" fontId="8" fillId="3" borderId="24" xfId="2" applyFont="1" applyFill="1" applyBorder="1" applyAlignment="1">
      <alignment horizontal="center" vertical="center" wrapText="1"/>
    </xf>
    <xf numFmtId="0" fontId="14" fillId="0" borderId="52" xfId="0" quotePrefix="1" applyFont="1" applyBorder="1" applyAlignment="1">
      <alignment horizontal="left" vertical="center" wrapText="1"/>
    </xf>
    <xf numFmtId="0" fontId="14" fillId="0" borderId="0" xfId="0" quotePrefix="1" applyFont="1" applyBorder="1" applyAlignment="1">
      <alignment horizontal="left" vertical="center" wrapText="1"/>
    </xf>
    <xf numFmtId="182" fontId="8" fillId="0" borderId="30" xfId="2" applyNumberFormat="1" applyFont="1" applyBorder="1" applyAlignment="1">
      <alignment horizontal="right" vertical="center"/>
    </xf>
    <xf numFmtId="182" fontId="8" fillId="0" borderId="24" xfId="2" applyNumberFormat="1" applyFont="1" applyBorder="1" applyAlignment="1">
      <alignment horizontal="right" vertical="center"/>
    </xf>
    <xf numFmtId="182" fontId="8" fillId="0" borderId="40" xfId="2" applyNumberFormat="1" applyFont="1" applyBorder="1" applyAlignment="1">
      <alignment horizontal="right" vertical="center"/>
    </xf>
    <xf numFmtId="178" fontId="8" fillId="0" borderId="30" xfId="2" applyNumberFormat="1" applyFont="1" applyBorder="1" applyAlignment="1">
      <alignment vertical="center"/>
    </xf>
    <xf numFmtId="178" fontId="8" fillId="0" borderId="40" xfId="2" applyNumberFormat="1" applyFont="1" applyBorder="1" applyAlignment="1">
      <alignment vertical="center"/>
    </xf>
    <xf numFmtId="178" fontId="8" fillId="0" borderId="24" xfId="2" applyNumberFormat="1" applyFont="1" applyBorder="1" applyAlignment="1">
      <alignment vertical="center"/>
    </xf>
    <xf numFmtId="0" fontId="16" fillId="0" borderId="28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7" fillId="0" borderId="23" xfId="0" applyFont="1" applyBorder="1">
      <alignment vertical="center"/>
    </xf>
    <xf numFmtId="0" fontId="8" fillId="0" borderId="24" xfId="2" applyNumberFormat="1" applyFont="1" applyBorder="1" applyAlignment="1">
      <alignment vertical="center"/>
    </xf>
    <xf numFmtId="41" fontId="8" fillId="0" borderId="45" xfId="2" applyFont="1" applyFill="1" applyBorder="1" applyAlignment="1">
      <alignment horizontal="center" vertical="center"/>
    </xf>
    <xf numFmtId="41" fontId="8" fillId="0" borderId="45" xfId="2" applyFont="1" applyBorder="1" applyAlignment="1">
      <alignment horizontal="center" vertical="center"/>
    </xf>
    <xf numFmtId="41" fontId="8" fillId="3" borderId="45" xfId="2" applyFont="1" applyFill="1" applyBorder="1" applyAlignment="1">
      <alignment horizontal="center" vertical="center"/>
    </xf>
    <xf numFmtId="178" fontId="8" fillId="0" borderId="45" xfId="2" applyNumberFormat="1" applyFont="1" applyBorder="1" applyAlignment="1">
      <alignment horizontal="right" vertical="center"/>
    </xf>
    <xf numFmtId="41" fontId="8" fillId="0" borderId="11" xfId="2" applyFont="1" applyFill="1" applyBorder="1" applyAlignment="1">
      <alignment horizontal="center" vertical="center"/>
    </xf>
    <xf numFmtId="41" fontId="8" fillId="0" borderId="11" xfId="2" applyFont="1" applyBorder="1" applyAlignment="1">
      <alignment horizontal="center" vertical="center"/>
    </xf>
    <xf numFmtId="41" fontId="8" fillId="3" borderId="11" xfId="2" applyFont="1" applyFill="1" applyBorder="1" applyAlignment="1">
      <alignment horizontal="center" vertical="center"/>
    </xf>
    <xf numFmtId="177" fontId="8" fillId="0" borderId="11" xfId="2" applyNumberFormat="1" applyFont="1" applyBorder="1" applyAlignment="1">
      <alignment horizontal="right" vertical="center"/>
    </xf>
    <xf numFmtId="178" fontId="8" fillId="0" borderId="11" xfId="2" applyNumberFormat="1" applyFont="1" applyBorder="1" applyAlignment="1">
      <alignment horizontal="right" vertical="center"/>
    </xf>
    <xf numFmtId="0" fontId="12" fillId="0" borderId="29" xfId="0" applyFont="1" applyBorder="1" applyAlignment="1">
      <alignment horizontal="center" vertical="center" wrapText="1" shrinkToFit="1"/>
    </xf>
    <xf numFmtId="0" fontId="12" fillId="0" borderId="23" xfId="0" applyFont="1" applyBorder="1" applyAlignment="1">
      <alignment horizontal="center" vertical="center" shrinkToFit="1"/>
    </xf>
    <xf numFmtId="0" fontId="15" fillId="0" borderId="22" xfId="0" applyFont="1" applyBorder="1" applyAlignment="1">
      <alignment horizontal="center" vertical="center" wrapText="1"/>
    </xf>
    <xf numFmtId="41" fontId="8" fillId="3" borderId="40" xfId="2" applyFont="1" applyFill="1" applyBorder="1" applyAlignment="1">
      <alignment horizontal="center" vertical="center" wrapText="1"/>
    </xf>
    <xf numFmtId="177" fontId="8" fillId="0" borderId="30" xfId="2" applyNumberFormat="1" applyFont="1" applyBorder="1" applyAlignment="1">
      <alignment horizontal="right" vertical="center" wrapText="1"/>
    </xf>
    <xf numFmtId="177" fontId="8" fillId="0" borderId="24" xfId="2" applyNumberFormat="1" applyFont="1" applyBorder="1" applyAlignment="1">
      <alignment horizontal="right" vertical="center" wrapText="1"/>
    </xf>
    <xf numFmtId="177" fontId="8" fillId="0" borderId="40" xfId="2" applyNumberFormat="1" applyFont="1" applyBorder="1" applyAlignment="1">
      <alignment horizontal="right" vertical="center" wrapText="1"/>
    </xf>
    <xf numFmtId="178" fontId="8" fillId="0" borderId="30" xfId="2" applyNumberFormat="1" applyFont="1" applyBorder="1" applyAlignment="1">
      <alignment horizontal="right" vertical="center" wrapText="1"/>
    </xf>
    <xf numFmtId="178" fontId="8" fillId="0" borderId="24" xfId="2" applyNumberFormat="1" applyFont="1" applyBorder="1" applyAlignment="1">
      <alignment horizontal="right" vertical="center" wrapText="1"/>
    </xf>
    <xf numFmtId="178" fontId="8" fillId="0" borderId="40" xfId="2" applyNumberFormat="1" applyFont="1" applyBorder="1" applyAlignment="1">
      <alignment horizontal="right" vertical="center" wrapText="1"/>
    </xf>
    <xf numFmtId="0" fontId="12" fillId="0" borderId="14" xfId="0" applyFont="1" applyBorder="1" applyAlignment="1">
      <alignment horizontal="center" vertical="center"/>
    </xf>
    <xf numFmtId="41" fontId="8" fillId="3" borderId="61" xfId="2" applyFont="1" applyFill="1" applyBorder="1" applyAlignment="1">
      <alignment horizontal="center" vertical="center"/>
    </xf>
    <xf numFmtId="0" fontId="12" fillId="0" borderId="44" xfId="0" applyFont="1" applyBorder="1" applyAlignment="1">
      <alignment horizontal="center" vertical="center" wrapText="1"/>
    </xf>
    <xf numFmtId="41" fontId="8" fillId="0" borderId="45" xfId="1" applyFont="1" applyFill="1" applyBorder="1" applyAlignment="1">
      <alignment horizontal="center" vertical="center"/>
    </xf>
    <xf numFmtId="41" fontId="8" fillId="0" borderId="45" xfId="1" applyFont="1" applyBorder="1" applyAlignment="1">
      <alignment horizontal="center" vertical="center"/>
    </xf>
    <xf numFmtId="177" fontId="8" fillId="0" borderId="45" xfId="1" applyNumberFormat="1" applyFont="1" applyBorder="1" applyAlignment="1">
      <alignment horizontal="right" vertical="center"/>
    </xf>
    <xf numFmtId="178" fontId="8" fillId="0" borderId="45" xfId="1" applyNumberFormat="1" applyFont="1" applyBorder="1" applyAlignment="1">
      <alignment horizontal="right" vertical="center"/>
    </xf>
    <xf numFmtId="0" fontId="16" fillId="0" borderId="26" xfId="0" applyFont="1" applyBorder="1" applyAlignment="1">
      <alignment horizontal="center" vertical="center"/>
    </xf>
    <xf numFmtId="0" fontId="16" fillId="0" borderId="65" xfId="0" applyFont="1" applyBorder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41" fontId="11" fillId="3" borderId="4" xfId="2" applyFont="1" applyFill="1" applyBorder="1" applyAlignment="1">
      <alignment horizontal="center" vertical="center" wrapText="1"/>
    </xf>
    <xf numFmtId="41" fontId="11" fillId="3" borderId="60" xfId="2" applyFont="1" applyFill="1" applyBorder="1" applyAlignment="1">
      <alignment horizontal="center" vertical="center" wrapText="1"/>
    </xf>
    <xf numFmtId="41" fontId="11" fillId="0" borderId="58" xfId="1" applyFont="1" applyBorder="1" applyAlignment="1">
      <alignment horizontal="center" vertical="center"/>
    </xf>
  </cellXfs>
  <cellStyles count="5">
    <cellStyle name="백분율 2" xfId="4"/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A122"/>
  <sheetViews>
    <sheetView tabSelected="1" view="pageBreakPreview" zoomScaleNormal="100" zoomScaleSheetLayoutView="100" workbookViewId="0">
      <selection activeCell="AA13" sqref="AA13"/>
    </sheetView>
  </sheetViews>
  <sheetFormatPr defaultRowHeight="16.5"/>
  <cols>
    <col min="1" max="2" width="10.125" style="150" customWidth="1"/>
    <col min="3" max="3" width="14" style="150" customWidth="1"/>
    <col min="4" max="4" width="14.5" style="196" customWidth="1"/>
    <col min="5" max="5" width="14.25" style="197" customWidth="1"/>
    <col min="6" max="6" width="0.125" style="197" hidden="1" customWidth="1"/>
    <col min="7" max="7" width="12.125" style="198" customWidth="1"/>
    <col min="8" max="8" width="9.875" style="199" customWidth="1"/>
    <col min="9" max="9" width="23.75" style="200" customWidth="1"/>
    <col min="10" max="10" width="14.625" style="200" bestFit="1" customWidth="1"/>
    <col min="11" max="12" width="3.625" style="201" customWidth="1"/>
    <col min="13" max="13" width="5.625" style="200" customWidth="1"/>
    <col min="14" max="14" width="5" style="200" customWidth="1"/>
    <col min="15" max="15" width="3.125" style="200" customWidth="1"/>
    <col min="16" max="16" width="14" style="200" customWidth="1"/>
    <col min="17" max="17" width="3.5" style="200" customWidth="1"/>
    <col min="18" max="18" width="0.125" style="1" hidden="1" customWidth="1"/>
    <col min="19" max="19" width="20.875" style="2" hidden="1" customWidth="1"/>
    <col min="20" max="20" width="13.5" style="1" hidden="1" customWidth="1"/>
    <col min="21" max="21" width="31.25" style="1" hidden="1" customWidth="1"/>
    <col min="22" max="22" width="0.25" style="1" hidden="1" customWidth="1"/>
    <col min="23" max="26" width="9" style="1" hidden="1" customWidth="1"/>
    <col min="27" max="16384" width="9" style="1"/>
  </cols>
  <sheetData>
    <row r="1" spans="1:19" ht="22.5">
      <c r="A1" s="590" t="s">
        <v>0</v>
      </c>
      <c r="B1" s="590"/>
      <c r="C1" s="590"/>
      <c r="D1" s="590"/>
      <c r="E1" s="590"/>
      <c r="F1" s="590"/>
      <c r="G1" s="590"/>
      <c r="H1" s="590"/>
      <c r="I1" s="590"/>
      <c r="J1" s="590"/>
      <c r="K1" s="590"/>
      <c r="L1" s="590"/>
      <c r="M1" s="590"/>
      <c r="N1" s="590"/>
      <c r="O1" s="590"/>
      <c r="P1" s="590"/>
      <c r="Q1" s="590"/>
    </row>
    <row r="2" spans="1:19" ht="22.5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</row>
    <row r="3" spans="1:19" ht="21.95" customHeight="1" thickBot="1">
      <c r="A3" s="3" t="s">
        <v>1</v>
      </c>
      <c r="B3" s="4"/>
      <c r="C3" s="4"/>
      <c r="D3" s="4"/>
      <c r="E3" s="5"/>
      <c r="F3" s="5"/>
      <c r="G3" s="6"/>
      <c r="H3" s="7"/>
      <c r="I3" s="4"/>
      <c r="J3" s="4" t="s">
        <v>2</v>
      </c>
      <c r="K3" s="4"/>
      <c r="L3" s="4"/>
      <c r="M3" s="4"/>
      <c r="N3" s="4"/>
      <c r="O3" s="591" t="s">
        <v>3</v>
      </c>
      <c r="P3" s="591"/>
      <c r="Q3" s="591"/>
    </row>
    <row r="4" spans="1:19" ht="19.5" customHeight="1">
      <c r="A4" s="592" t="s">
        <v>4</v>
      </c>
      <c r="B4" s="594" t="s">
        <v>5</v>
      </c>
      <c r="C4" s="596" t="s">
        <v>6</v>
      </c>
      <c r="D4" s="598" t="s">
        <v>7</v>
      </c>
      <c r="E4" s="598" t="s">
        <v>8</v>
      </c>
      <c r="F4" s="600" t="s">
        <v>9</v>
      </c>
      <c r="G4" s="602" t="s">
        <v>10</v>
      </c>
      <c r="H4" s="602"/>
      <c r="I4" s="603" t="s">
        <v>620</v>
      </c>
      <c r="J4" s="594"/>
      <c r="K4" s="594"/>
      <c r="L4" s="594"/>
      <c r="M4" s="594"/>
      <c r="N4" s="594"/>
      <c r="O4" s="594"/>
      <c r="P4" s="594"/>
      <c r="Q4" s="604"/>
    </row>
    <row r="5" spans="1:19" ht="19.5" customHeight="1" thickBot="1">
      <c r="A5" s="593"/>
      <c r="B5" s="595"/>
      <c r="C5" s="597"/>
      <c r="D5" s="599"/>
      <c r="E5" s="599"/>
      <c r="F5" s="601"/>
      <c r="G5" s="8" t="s">
        <v>11</v>
      </c>
      <c r="H5" s="9" t="s">
        <v>12</v>
      </c>
      <c r="I5" s="605"/>
      <c r="J5" s="595"/>
      <c r="K5" s="595"/>
      <c r="L5" s="595"/>
      <c r="M5" s="595"/>
      <c r="N5" s="595"/>
      <c r="O5" s="595"/>
      <c r="P5" s="595"/>
      <c r="Q5" s="606"/>
    </row>
    <row r="6" spans="1:19" ht="20.100000000000001" customHeight="1" thickBot="1">
      <c r="A6" s="587" t="s">
        <v>13</v>
      </c>
      <c r="B6" s="588"/>
      <c r="C6" s="589"/>
      <c r="D6" s="10">
        <f>SUM(D7,D86,D51,D101,D22,D44,D47,D106)</f>
        <v>7455912</v>
      </c>
      <c r="E6" s="10">
        <f>SUM(E7,E86,E51,E101,E22,E44,E47,E106)</f>
        <v>7681571.6150000012</v>
      </c>
      <c r="F6" s="11" t="e">
        <f>SUM(F7,#REF!,F86,F51,F101,F22,F44,#REF!,F47)</f>
        <v>#REF!</v>
      </c>
      <c r="G6" s="12">
        <f>+E6-D6</f>
        <v>225659.61500000115</v>
      </c>
      <c r="H6" s="13">
        <f>+G6/D6*100</f>
        <v>3.0265863518775591</v>
      </c>
      <c r="I6" s="14"/>
      <c r="J6" s="14"/>
      <c r="K6" s="15"/>
      <c r="L6" s="15"/>
      <c r="M6" s="14"/>
      <c r="N6" s="14"/>
      <c r="O6" s="14"/>
      <c r="P6" s="16">
        <f>SUM(P7,P22,P44,P47,P51,P86,P101,P106)</f>
        <v>7681571615</v>
      </c>
      <c r="Q6" s="17" t="s">
        <v>14</v>
      </c>
    </row>
    <row r="7" spans="1:19" s="28" customFormat="1" ht="20.100000000000001" customHeight="1" thickTop="1">
      <c r="A7" s="18" t="s">
        <v>15</v>
      </c>
      <c r="B7" s="529" t="s">
        <v>16</v>
      </c>
      <c r="C7" s="530"/>
      <c r="D7" s="19">
        <f>SUM(D8)</f>
        <v>60213</v>
      </c>
      <c r="E7" s="20">
        <f>SUM(E8)</f>
        <v>64213</v>
      </c>
      <c r="F7" s="21">
        <f>SUM(F8)</f>
        <v>71084</v>
      </c>
      <c r="G7" s="22">
        <f>+E7-D7</f>
        <v>4000</v>
      </c>
      <c r="H7" s="23">
        <f>+G7/D7*100</f>
        <v>6.6430837194625738</v>
      </c>
      <c r="I7" s="24"/>
      <c r="J7" s="24"/>
      <c r="K7" s="25"/>
      <c r="L7" s="25"/>
      <c r="M7" s="24"/>
      <c r="N7" s="24"/>
      <c r="O7" s="24"/>
      <c r="P7" s="26">
        <f>P8</f>
        <v>64213000</v>
      </c>
      <c r="Q7" s="27" t="s">
        <v>14</v>
      </c>
      <c r="S7" s="29"/>
    </row>
    <row r="8" spans="1:19" s="28" customFormat="1" ht="15.95" customHeight="1">
      <c r="A8" s="18" t="s">
        <v>17</v>
      </c>
      <c r="B8" s="30" t="s">
        <v>18</v>
      </c>
      <c r="C8" s="31" t="s">
        <v>19</v>
      </c>
      <c r="D8" s="469">
        <f>SUM(D9:D21)</f>
        <v>60213</v>
      </c>
      <c r="E8" s="32">
        <f>SUM(E9:E21)</f>
        <v>64213</v>
      </c>
      <c r="F8" s="33">
        <f>SUM(F9:F19)</f>
        <v>71084</v>
      </c>
      <c r="G8" s="34">
        <f>+E8-D8</f>
        <v>4000</v>
      </c>
      <c r="H8" s="466">
        <f>+G8/D8*100</f>
        <v>6.6430837194625738</v>
      </c>
      <c r="I8" s="35"/>
      <c r="J8" s="35"/>
      <c r="K8" s="36"/>
      <c r="L8" s="36"/>
      <c r="M8" s="35"/>
      <c r="N8" s="35"/>
      <c r="O8" s="35"/>
      <c r="P8" s="37">
        <f>SUM(P9,P14,P16,P20)</f>
        <v>64213000</v>
      </c>
      <c r="Q8" s="38" t="s">
        <v>14</v>
      </c>
      <c r="S8" s="29"/>
    </row>
    <row r="9" spans="1:19" s="28" customFormat="1" ht="15.95" customHeight="1">
      <c r="A9" s="39"/>
      <c r="B9" s="487" t="s">
        <v>20</v>
      </c>
      <c r="C9" s="549" t="s">
        <v>21</v>
      </c>
      <c r="D9" s="552">
        <v>26400</v>
      </c>
      <c r="E9" s="566">
        <f>+P9/1000</f>
        <v>30400</v>
      </c>
      <c r="F9" s="40">
        <v>0</v>
      </c>
      <c r="G9" s="555">
        <f>+E9-D9</f>
        <v>4000</v>
      </c>
      <c r="H9" s="584">
        <f>+G9/D9*100</f>
        <v>15.151515151515152</v>
      </c>
      <c r="I9" s="41"/>
      <c r="J9" s="42"/>
      <c r="K9" s="457"/>
      <c r="L9" s="457"/>
      <c r="M9" s="528" t="s">
        <v>22</v>
      </c>
      <c r="N9" s="528"/>
      <c r="O9" s="528"/>
      <c r="P9" s="42">
        <f>SUM(P10:P13)</f>
        <v>30400000</v>
      </c>
      <c r="Q9" s="38" t="s">
        <v>23</v>
      </c>
      <c r="S9" s="29"/>
    </row>
    <row r="10" spans="1:19" s="28" customFormat="1" ht="15.95" customHeight="1">
      <c r="A10" s="39"/>
      <c r="B10" s="43"/>
      <c r="C10" s="550"/>
      <c r="D10" s="537"/>
      <c r="E10" s="567"/>
      <c r="F10" s="44"/>
      <c r="G10" s="544"/>
      <c r="H10" s="585"/>
      <c r="I10" s="45" t="s">
        <v>24</v>
      </c>
      <c r="J10" s="46">
        <v>1000000</v>
      </c>
      <c r="K10" s="478" t="s">
        <v>23</v>
      </c>
      <c r="L10" s="47" t="s">
        <v>25</v>
      </c>
      <c r="M10" s="478">
        <v>12</v>
      </c>
      <c r="N10" s="478" t="s">
        <v>26</v>
      </c>
      <c r="O10" s="478" t="s">
        <v>27</v>
      </c>
      <c r="P10" s="48">
        <f>SUM(J10*M10)</f>
        <v>12000000</v>
      </c>
      <c r="Q10" s="49" t="s">
        <v>23</v>
      </c>
      <c r="S10" s="29"/>
    </row>
    <row r="11" spans="1:19" s="28" customFormat="1" ht="15.95" customHeight="1">
      <c r="A11" s="39"/>
      <c r="B11" s="43"/>
      <c r="C11" s="550"/>
      <c r="D11" s="537"/>
      <c r="E11" s="567"/>
      <c r="F11" s="44"/>
      <c r="G11" s="544"/>
      <c r="H11" s="585"/>
      <c r="I11" s="45" t="s">
        <v>28</v>
      </c>
      <c r="J11" s="46">
        <v>600000</v>
      </c>
      <c r="K11" s="478" t="s">
        <v>23</v>
      </c>
      <c r="L11" s="47" t="s">
        <v>25</v>
      </c>
      <c r="M11" s="478">
        <v>12</v>
      </c>
      <c r="N11" s="478" t="s">
        <v>26</v>
      </c>
      <c r="O11" s="478" t="s">
        <v>27</v>
      </c>
      <c r="P11" s="48">
        <f>SUM(J11*M11)</f>
        <v>7200000</v>
      </c>
      <c r="Q11" s="49" t="s">
        <v>23</v>
      </c>
      <c r="S11" s="29"/>
    </row>
    <row r="12" spans="1:19" s="28" customFormat="1" ht="15.95" customHeight="1">
      <c r="A12" s="39"/>
      <c r="B12" s="43"/>
      <c r="C12" s="550"/>
      <c r="D12" s="537"/>
      <c r="E12" s="567"/>
      <c r="F12" s="50"/>
      <c r="G12" s="544"/>
      <c r="H12" s="585"/>
      <c r="I12" s="45" t="s">
        <v>29</v>
      </c>
      <c r="J12" s="46">
        <v>600000</v>
      </c>
      <c r="K12" s="478" t="s">
        <v>23</v>
      </c>
      <c r="L12" s="47" t="s">
        <v>25</v>
      </c>
      <c r="M12" s="478">
        <v>12</v>
      </c>
      <c r="N12" s="478" t="s">
        <v>26</v>
      </c>
      <c r="O12" s="478" t="s">
        <v>27</v>
      </c>
      <c r="P12" s="48">
        <f>SUM(J12*M12)</f>
        <v>7200000</v>
      </c>
      <c r="Q12" s="49" t="s">
        <v>23</v>
      </c>
      <c r="S12" s="29"/>
    </row>
    <row r="13" spans="1:19" s="28" customFormat="1" ht="15.95" customHeight="1">
      <c r="A13" s="39"/>
      <c r="B13" s="43"/>
      <c r="C13" s="551"/>
      <c r="D13" s="565"/>
      <c r="E13" s="568"/>
      <c r="F13" s="44"/>
      <c r="G13" s="556"/>
      <c r="H13" s="586"/>
      <c r="I13" s="45" t="s">
        <v>30</v>
      </c>
      <c r="J13" s="504">
        <v>500000</v>
      </c>
      <c r="K13" s="478" t="s">
        <v>23</v>
      </c>
      <c r="L13" s="47" t="s">
        <v>25</v>
      </c>
      <c r="M13" s="478">
        <v>8</v>
      </c>
      <c r="N13" s="478" t="s">
        <v>26</v>
      </c>
      <c r="O13" s="478" t="s">
        <v>27</v>
      </c>
      <c r="P13" s="48">
        <f>SUM(J13*M13)</f>
        <v>4000000</v>
      </c>
      <c r="Q13" s="49" t="s">
        <v>23</v>
      </c>
      <c r="S13" s="29"/>
    </row>
    <row r="14" spans="1:19" s="28" customFormat="1" ht="15.95" customHeight="1">
      <c r="A14" s="39"/>
      <c r="B14" s="43"/>
      <c r="C14" s="549" t="s">
        <v>31</v>
      </c>
      <c r="D14" s="552">
        <v>0</v>
      </c>
      <c r="E14" s="566">
        <f>+P14/1000</f>
        <v>0</v>
      </c>
      <c r="F14" s="40"/>
      <c r="G14" s="555">
        <f>+E14-D14</f>
        <v>0</v>
      </c>
      <c r="H14" s="584">
        <v>0</v>
      </c>
      <c r="I14" s="41"/>
      <c r="J14" s="42"/>
      <c r="K14" s="457"/>
      <c r="L14" s="457"/>
      <c r="M14" s="528" t="s">
        <v>22</v>
      </c>
      <c r="N14" s="528"/>
      <c r="O14" s="528"/>
      <c r="P14" s="42">
        <f>SUM(P15:P15)</f>
        <v>0</v>
      </c>
      <c r="Q14" s="38" t="s">
        <v>23</v>
      </c>
      <c r="S14" s="29"/>
    </row>
    <row r="15" spans="1:19" s="28" customFormat="1" ht="15.95" customHeight="1">
      <c r="A15" s="39"/>
      <c r="B15" s="43"/>
      <c r="C15" s="550"/>
      <c r="D15" s="537"/>
      <c r="E15" s="567"/>
      <c r="F15" s="44"/>
      <c r="G15" s="544"/>
      <c r="H15" s="585"/>
      <c r="I15" s="45"/>
      <c r="J15" s="51">
        <v>0</v>
      </c>
      <c r="K15" s="478" t="s">
        <v>14</v>
      </c>
      <c r="L15" s="47" t="s">
        <v>32</v>
      </c>
      <c r="M15" s="478">
        <v>1</v>
      </c>
      <c r="N15" s="478" t="s">
        <v>33</v>
      </c>
      <c r="O15" s="52" t="s">
        <v>34</v>
      </c>
      <c r="P15" s="48">
        <f>SUM(J15*M15)</f>
        <v>0</v>
      </c>
      <c r="Q15" s="49" t="s">
        <v>23</v>
      </c>
      <c r="S15" s="29"/>
    </row>
    <row r="16" spans="1:19" s="28" customFormat="1" ht="15.95" customHeight="1">
      <c r="A16" s="39"/>
      <c r="B16" s="43"/>
      <c r="C16" s="576" t="s">
        <v>35</v>
      </c>
      <c r="D16" s="552">
        <v>32625</v>
      </c>
      <c r="E16" s="566">
        <f>+P16/1000</f>
        <v>32625</v>
      </c>
      <c r="F16" s="541">
        <v>71084</v>
      </c>
      <c r="G16" s="555">
        <f>+E16-D16</f>
        <v>0</v>
      </c>
      <c r="H16" s="547">
        <f>+G16/D16*100</f>
        <v>0</v>
      </c>
      <c r="I16" s="41"/>
      <c r="J16" s="42"/>
      <c r="K16" s="457"/>
      <c r="L16" s="457"/>
      <c r="M16" s="528" t="s">
        <v>22</v>
      </c>
      <c r="N16" s="528"/>
      <c r="O16" s="528"/>
      <c r="P16" s="42">
        <f>SUM(P17:P19)</f>
        <v>32625000</v>
      </c>
      <c r="Q16" s="38" t="s">
        <v>23</v>
      </c>
      <c r="S16" s="29"/>
    </row>
    <row r="17" spans="1:19" s="28" customFormat="1" ht="15.95" customHeight="1">
      <c r="A17" s="39"/>
      <c r="B17" s="43"/>
      <c r="C17" s="583"/>
      <c r="D17" s="537"/>
      <c r="E17" s="567"/>
      <c r="F17" s="542"/>
      <c r="G17" s="544"/>
      <c r="H17" s="557"/>
      <c r="I17" s="45" t="s">
        <v>36</v>
      </c>
      <c r="J17" s="48">
        <v>7200000</v>
      </c>
      <c r="K17" s="478" t="s">
        <v>23</v>
      </c>
      <c r="L17" s="47" t="s">
        <v>32</v>
      </c>
      <c r="M17" s="478">
        <v>1</v>
      </c>
      <c r="N17" s="478" t="s">
        <v>33</v>
      </c>
      <c r="O17" s="52" t="s">
        <v>34</v>
      </c>
      <c r="P17" s="48">
        <f>J17*M17</f>
        <v>7200000</v>
      </c>
      <c r="Q17" s="49" t="s">
        <v>23</v>
      </c>
      <c r="S17" s="29"/>
    </row>
    <row r="18" spans="1:19" s="28" customFormat="1" ht="15.95" customHeight="1">
      <c r="A18" s="39"/>
      <c r="B18" s="43"/>
      <c r="C18" s="583"/>
      <c r="D18" s="537"/>
      <c r="E18" s="567"/>
      <c r="F18" s="542"/>
      <c r="G18" s="544"/>
      <c r="H18" s="557"/>
      <c r="I18" s="45" t="s">
        <v>37</v>
      </c>
      <c r="J18" s="48">
        <v>2045000</v>
      </c>
      <c r="K18" s="478" t="s">
        <v>23</v>
      </c>
      <c r="L18" s="47" t="s">
        <v>32</v>
      </c>
      <c r="M18" s="478">
        <v>5</v>
      </c>
      <c r="N18" s="478" t="s">
        <v>33</v>
      </c>
      <c r="O18" s="52" t="s">
        <v>34</v>
      </c>
      <c r="P18" s="48">
        <f>J18*M18</f>
        <v>10225000</v>
      </c>
      <c r="Q18" s="49" t="s">
        <v>23</v>
      </c>
      <c r="S18" s="29"/>
    </row>
    <row r="19" spans="1:19" s="28" customFormat="1" ht="15.95" customHeight="1">
      <c r="A19" s="39"/>
      <c r="B19" s="43"/>
      <c r="C19" s="583"/>
      <c r="D19" s="537"/>
      <c r="E19" s="567"/>
      <c r="F19" s="542"/>
      <c r="G19" s="544"/>
      <c r="H19" s="557"/>
      <c r="I19" s="45" t="s">
        <v>38</v>
      </c>
      <c r="J19" s="48">
        <v>3040000</v>
      </c>
      <c r="K19" s="478" t="s">
        <v>23</v>
      </c>
      <c r="L19" s="47" t="s">
        <v>32</v>
      </c>
      <c r="M19" s="478">
        <v>5</v>
      </c>
      <c r="N19" s="478" t="s">
        <v>33</v>
      </c>
      <c r="O19" s="52" t="s">
        <v>34</v>
      </c>
      <c r="P19" s="48">
        <f>J19*M19</f>
        <v>15200000</v>
      </c>
      <c r="Q19" s="49" t="s">
        <v>23</v>
      </c>
      <c r="S19" s="29"/>
    </row>
    <row r="20" spans="1:19" s="28" customFormat="1" ht="15.95" customHeight="1">
      <c r="A20" s="39"/>
      <c r="B20" s="43"/>
      <c r="C20" s="549" t="s">
        <v>39</v>
      </c>
      <c r="D20" s="552">
        <v>1188</v>
      </c>
      <c r="E20" s="566">
        <f>P20/1000</f>
        <v>1188</v>
      </c>
      <c r="F20" s="50"/>
      <c r="G20" s="555">
        <f>E20-D20</f>
        <v>0</v>
      </c>
      <c r="H20" s="547">
        <f>G20/D20*100</f>
        <v>0</v>
      </c>
      <c r="I20" s="41"/>
      <c r="J20" s="42"/>
      <c r="K20" s="457"/>
      <c r="L20" s="53"/>
      <c r="M20" s="528" t="s">
        <v>40</v>
      </c>
      <c r="N20" s="528"/>
      <c r="O20" s="528"/>
      <c r="P20" s="54">
        <f>SUM(P21:P21)</f>
        <v>1188000</v>
      </c>
      <c r="Q20" s="38" t="s">
        <v>14</v>
      </c>
      <c r="S20" s="29"/>
    </row>
    <row r="21" spans="1:19" s="28" customFormat="1" ht="15.95" customHeight="1">
      <c r="A21" s="39"/>
      <c r="B21" s="43"/>
      <c r="C21" s="550"/>
      <c r="D21" s="537"/>
      <c r="E21" s="567"/>
      <c r="F21" s="50"/>
      <c r="G21" s="544"/>
      <c r="H21" s="557"/>
      <c r="I21" s="45" t="s">
        <v>41</v>
      </c>
      <c r="J21" s="51">
        <v>594000</v>
      </c>
      <c r="K21" s="478" t="s">
        <v>23</v>
      </c>
      <c r="L21" s="47" t="s">
        <v>32</v>
      </c>
      <c r="M21" s="478">
        <v>2</v>
      </c>
      <c r="N21" s="478" t="s">
        <v>42</v>
      </c>
      <c r="O21" s="52" t="s">
        <v>43</v>
      </c>
      <c r="P21" s="48">
        <f>J21*M21</f>
        <v>1188000</v>
      </c>
      <c r="Q21" s="49" t="s">
        <v>14</v>
      </c>
      <c r="S21" s="29"/>
    </row>
    <row r="22" spans="1:19" s="28" customFormat="1" ht="15.95" customHeight="1">
      <c r="A22" s="55" t="s">
        <v>44</v>
      </c>
      <c r="B22" s="563" t="s">
        <v>16</v>
      </c>
      <c r="C22" s="564"/>
      <c r="D22" s="56">
        <f>SUM(D23)</f>
        <v>54450</v>
      </c>
      <c r="E22" s="57">
        <f>SUM(E23)</f>
        <v>49115</v>
      </c>
      <c r="F22" s="58">
        <f>SUM(F23)</f>
        <v>15097230</v>
      </c>
      <c r="G22" s="59">
        <f>+E22-D22</f>
        <v>-5335</v>
      </c>
      <c r="H22" s="60">
        <f>+G22/D22*100</f>
        <v>-9.7979797979797993</v>
      </c>
      <c r="I22" s="61"/>
      <c r="J22" s="61"/>
      <c r="K22" s="459"/>
      <c r="L22" s="459"/>
      <c r="M22" s="61"/>
      <c r="N22" s="61"/>
      <c r="O22" s="61"/>
      <c r="P22" s="62">
        <f>P23</f>
        <v>49115000</v>
      </c>
      <c r="Q22" s="63" t="s">
        <v>14</v>
      </c>
      <c r="S22" s="29"/>
    </row>
    <row r="23" spans="1:19" s="28" customFormat="1" ht="15.95" customHeight="1">
      <c r="A23" s="39"/>
      <c r="B23" s="487" t="s">
        <v>44</v>
      </c>
      <c r="C23" s="64" t="s">
        <v>19</v>
      </c>
      <c r="D23" s="461">
        <f>SUM(D24)</f>
        <v>54450</v>
      </c>
      <c r="E23" s="65">
        <f>SUM(E24)</f>
        <v>49115</v>
      </c>
      <c r="F23" s="66">
        <f>SUM(F24:F114)</f>
        <v>15097230</v>
      </c>
      <c r="G23" s="472">
        <f>+E23-D23</f>
        <v>-5335</v>
      </c>
      <c r="H23" s="466">
        <f>+G23/D23*100</f>
        <v>-9.7979797979797993</v>
      </c>
      <c r="I23" s="67"/>
      <c r="J23" s="67"/>
      <c r="K23" s="478"/>
      <c r="L23" s="478"/>
      <c r="M23" s="67"/>
      <c r="N23" s="67"/>
      <c r="O23" s="67"/>
      <c r="P23" s="68">
        <f>P24</f>
        <v>49115000</v>
      </c>
      <c r="Q23" s="49" t="s">
        <v>14</v>
      </c>
      <c r="S23" s="29"/>
    </row>
    <row r="24" spans="1:19" s="28" customFormat="1" ht="15.95" customHeight="1">
      <c r="A24" s="39"/>
      <c r="B24" s="43"/>
      <c r="C24" s="549" t="s">
        <v>45</v>
      </c>
      <c r="D24" s="552">
        <v>54450</v>
      </c>
      <c r="E24" s="566">
        <f>+P24/1000</f>
        <v>49115</v>
      </c>
      <c r="F24" s="541">
        <v>10450</v>
      </c>
      <c r="G24" s="555">
        <f>+E24-D24</f>
        <v>-5335</v>
      </c>
      <c r="H24" s="547">
        <f>+G24/D24*100</f>
        <v>-9.7979797979797993</v>
      </c>
      <c r="I24" s="578" t="s">
        <v>46</v>
      </c>
      <c r="J24" s="579"/>
      <c r="K24" s="457"/>
      <c r="L24" s="457"/>
      <c r="M24" s="69"/>
      <c r="N24" s="70" t="s">
        <v>47</v>
      </c>
      <c r="O24" s="70"/>
      <c r="P24" s="70">
        <f>+P25+P39</f>
        <v>49115000</v>
      </c>
      <c r="Q24" s="38" t="s">
        <v>23</v>
      </c>
      <c r="S24" s="29"/>
    </row>
    <row r="25" spans="1:19" s="28" customFormat="1" ht="15.95" customHeight="1">
      <c r="A25" s="39"/>
      <c r="B25" s="43"/>
      <c r="C25" s="550"/>
      <c r="D25" s="537"/>
      <c r="E25" s="567"/>
      <c r="F25" s="542"/>
      <c r="G25" s="544"/>
      <c r="H25" s="557"/>
      <c r="I25" s="580" t="s">
        <v>48</v>
      </c>
      <c r="J25" s="581"/>
      <c r="K25" s="478"/>
      <c r="L25" s="47"/>
      <c r="M25" s="582" t="s">
        <v>22</v>
      </c>
      <c r="N25" s="582"/>
      <c r="O25" s="582"/>
      <c r="P25" s="48">
        <f>SUM(P26:P38)</f>
        <v>46735000</v>
      </c>
      <c r="Q25" s="49" t="s">
        <v>23</v>
      </c>
      <c r="S25" s="29"/>
    </row>
    <row r="26" spans="1:19" s="28" customFormat="1" ht="15.95" customHeight="1">
      <c r="A26" s="18"/>
      <c r="B26" s="43"/>
      <c r="C26" s="550"/>
      <c r="D26" s="537"/>
      <c r="E26" s="567"/>
      <c r="F26" s="542"/>
      <c r="G26" s="544"/>
      <c r="H26" s="557"/>
      <c r="I26" s="71" t="s">
        <v>49</v>
      </c>
      <c r="J26" s="72">
        <v>30000</v>
      </c>
      <c r="K26" s="73" t="s">
        <v>23</v>
      </c>
      <c r="L26" s="74" t="s">
        <v>32</v>
      </c>
      <c r="M26" s="73">
        <v>45</v>
      </c>
      <c r="N26" s="73" t="s">
        <v>50</v>
      </c>
      <c r="O26" s="75" t="s">
        <v>34</v>
      </c>
      <c r="P26" s="72">
        <f t="shared" ref="P26:P35" si="0">SUM(J26*M26)</f>
        <v>1350000</v>
      </c>
      <c r="Q26" s="76" t="s">
        <v>23</v>
      </c>
      <c r="S26" s="29"/>
    </row>
    <row r="27" spans="1:19" s="28" customFormat="1" ht="15.95" customHeight="1">
      <c r="A27" s="39"/>
      <c r="B27" s="43"/>
      <c r="C27" s="550"/>
      <c r="D27" s="537"/>
      <c r="E27" s="567"/>
      <c r="F27" s="542"/>
      <c r="G27" s="544"/>
      <c r="H27" s="557"/>
      <c r="I27" s="71" t="s">
        <v>51</v>
      </c>
      <c r="J27" s="72">
        <v>10000</v>
      </c>
      <c r="K27" s="73" t="s">
        <v>14</v>
      </c>
      <c r="L27" s="74" t="s">
        <v>32</v>
      </c>
      <c r="M27" s="73">
        <v>44</v>
      </c>
      <c r="N27" s="73" t="s">
        <v>52</v>
      </c>
      <c r="O27" s="75" t="s">
        <v>34</v>
      </c>
      <c r="P27" s="72">
        <f t="shared" si="0"/>
        <v>440000</v>
      </c>
      <c r="Q27" s="76" t="s">
        <v>23</v>
      </c>
      <c r="S27" s="29"/>
    </row>
    <row r="28" spans="1:19" s="28" customFormat="1" ht="15.95" customHeight="1">
      <c r="A28" s="39"/>
      <c r="B28" s="43"/>
      <c r="C28" s="550"/>
      <c r="D28" s="537"/>
      <c r="E28" s="567"/>
      <c r="F28" s="542"/>
      <c r="G28" s="544"/>
      <c r="H28" s="557"/>
      <c r="I28" s="71" t="s">
        <v>53</v>
      </c>
      <c r="J28" s="72">
        <v>5000</v>
      </c>
      <c r="K28" s="73" t="s">
        <v>23</v>
      </c>
      <c r="L28" s="74" t="s">
        <v>32</v>
      </c>
      <c r="M28" s="73">
        <v>41</v>
      </c>
      <c r="N28" s="73" t="s">
        <v>52</v>
      </c>
      <c r="O28" s="75" t="s">
        <v>34</v>
      </c>
      <c r="P28" s="72">
        <f t="shared" si="0"/>
        <v>205000</v>
      </c>
      <c r="Q28" s="76" t="s">
        <v>23</v>
      </c>
      <c r="S28" s="29"/>
    </row>
    <row r="29" spans="1:19" s="28" customFormat="1" ht="15.95" customHeight="1">
      <c r="A29" s="39"/>
      <c r="B29" s="43"/>
      <c r="C29" s="550"/>
      <c r="D29" s="537"/>
      <c r="E29" s="567"/>
      <c r="F29" s="542"/>
      <c r="G29" s="544"/>
      <c r="H29" s="557"/>
      <c r="I29" s="71" t="s">
        <v>54</v>
      </c>
      <c r="J29" s="72">
        <v>60000</v>
      </c>
      <c r="K29" s="73" t="s">
        <v>14</v>
      </c>
      <c r="L29" s="74" t="s">
        <v>32</v>
      </c>
      <c r="M29" s="73">
        <v>50</v>
      </c>
      <c r="N29" s="73" t="s">
        <v>52</v>
      </c>
      <c r="O29" s="75" t="s">
        <v>34</v>
      </c>
      <c r="P29" s="72">
        <f t="shared" si="0"/>
        <v>3000000</v>
      </c>
      <c r="Q29" s="76" t="s">
        <v>23</v>
      </c>
      <c r="S29" s="29"/>
    </row>
    <row r="30" spans="1:19" s="28" customFormat="1" ht="15.95" customHeight="1">
      <c r="A30" s="18"/>
      <c r="B30" s="43"/>
      <c r="C30" s="550"/>
      <c r="D30" s="537"/>
      <c r="E30" s="567"/>
      <c r="F30" s="542"/>
      <c r="G30" s="544"/>
      <c r="H30" s="557"/>
      <c r="I30" s="71" t="s">
        <v>55</v>
      </c>
      <c r="J30" s="72">
        <v>20000</v>
      </c>
      <c r="K30" s="73" t="s">
        <v>23</v>
      </c>
      <c r="L30" s="74" t="s">
        <v>32</v>
      </c>
      <c r="M30" s="73">
        <v>70</v>
      </c>
      <c r="N30" s="73" t="s">
        <v>50</v>
      </c>
      <c r="O30" s="75" t="s">
        <v>34</v>
      </c>
      <c r="P30" s="72">
        <f t="shared" si="0"/>
        <v>1400000</v>
      </c>
      <c r="Q30" s="76" t="s">
        <v>23</v>
      </c>
      <c r="S30" s="29"/>
    </row>
    <row r="31" spans="1:19" s="28" customFormat="1" ht="15.95" customHeight="1">
      <c r="A31" s="39"/>
      <c r="B31" s="43"/>
      <c r="C31" s="550"/>
      <c r="D31" s="537"/>
      <c r="E31" s="567"/>
      <c r="F31" s="542"/>
      <c r="G31" s="544"/>
      <c r="H31" s="557"/>
      <c r="I31" s="71" t="s">
        <v>56</v>
      </c>
      <c r="J31" s="72">
        <v>20000</v>
      </c>
      <c r="K31" s="73" t="s">
        <v>23</v>
      </c>
      <c r="L31" s="74" t="s">
        <v>32</v>
      </c>
      <c r="M31" s="73">
        <v>98</v>
      </c>
      <c r="N31" s="73" t="s">
        <v>50</v>
      </c>
      <c r="O31" s="75" t="s">
        <v>34</v>
      </c>
      <c r="P31" s="72">
        <f t="shared" si="0"/>
        <v>1960000</v>
      </c>
      <c r="Q31" s="76" t="s">
        <v>23</v>
      </c>
      <c r="S31" s="29"/>
    </row>
    <row r="32" spans="1:19" s="28" customFormat="1" ht="15.95" customHeight="1">
      <c r="A32" s="39"/>
      <c r="B32" s="43"/>
      <c r="C32" s="550"/>
      <c r="D32" s="537"/>
      <c r="E32" s="567"/>
      <c r="F32" s="542"/>
      <c r="G32" s="544"/>
      <c r="H32" s="557"/>
      <c r="I32" s="71" t="s">
        <v>57</v>
      </c>
      <c r="J32" s="72">
        <v>80000</v>
      </c>
      <c r="K32" s="73" t="s">
        <v>23</v>
      </c>
      <c r="L32" s="74" t="s">
        <v>32</v>
      </c>
      <c r="M32" s="73">
        <v>110</v>
      </c>
      <c r="N32" s="73" t="s">
        <v>50</v>
      </c>
      <c r="O32" s="75" t="s">
        <v>34</v>
      </c>
      <c r="P32" s="72">
        <f t="shared" si="0"/>
        <v>8800000</v>
      </c>
      <c r="Q32" s="76" t="s">
        <v>23</v>
      </c>
      <c r="S32" s="29"/>
    </row>
    <row r="33" spans="1:19" s="28" customFormat="1" ht="15.95" customHeight="1">
      <c r="A33" s="39"/>
      <c r="B33" s="43"/>
      <c r="C33" s="550"/>
      <c r="D33" s="537"/>
      <c r="E33" s="567"/>
      <c r="F33" s="542"/>
      <c r="G33" s="544"/>
      <c r="H33" s="557"/>
      <c r="I33" s="71" t="s">
        <v>58</v>
      </c>
      <c r="J33" s="72">
        <v>6430000</v>
      </c>
      <c r="K33" s="73" t="s">
        <v>14</v>
      </c>
      <c r="L33" s="74" t="s">
        <v>32</v>
      </c>
      <c r="M33" s="73">
        <v>1</v>
      </c>
      <c r="N33" s="73" t="s">
        <v>59</v>
      </c>
      <c r="O33" s="75" t="s">
        <v>27</v>
      </c>
      <c r="P33" s="72">
        <f t="shared" si="0"/>
        <v>6430000</v>
      </c>
      <c r="Q33" s="76" t="s">
        <v>14</v>
      </c>
      <c r="S33" s="29"/>
    </row>
    <row r="34" spans="1:19" s="28" customFormat="1" ht="15.95" customHeight="1">
      <c r="A34" s="39"/>
      <c r="B34" s="43"/>
      <c r="C34" s="550"/>
      <c r="D34" s="537"/>
      <c r="E34" s="567"/>
      <c r="F34" s="542"/>
      <c r="G34" s="544"/>
      <c r="H34" s="557"/>
      <c r="I34" s="71" t="s">
        <v>60</v>
      </c>
      <c r="J34" s="72">
        <v>20000</v>
      </c>
      <c r="K34" s="73" t="s">
        <v>14</v>
      </c>
      <c r="L34" s="74" t="s">
        <v>32</v>
      </c>
      <c r="M34" s="73">
        <v>60</v>
      </c>
      <c r="N34" s="73" t="s">
        <v>52</v>
      </c>
      <c r="O34" s="75" t="s">
        <v>27</v>
      </c>
      <c r="P34" s="72">
        <f t="shared" si="0"/>
        <v>1200000</v>
      </c>
      <c r="Q34" s="76" t="s">
        <v>14</v>
      </c>
      <c r="S34" s="29"/>
    </row>
    <row r="35" spans="1:19" s="28" customFormat="1" ht="15.95" customHeight="1">
      <c r="A35" s="39"/>
      <c r="B35" s="43"/>
      <c r="C35" s="550"/>
      <c r="D35" s="537"/>
      <c r="E35" s="567"/>
      <c r="F35" s="542"/>
      <c r="G35" s="544"/>
      <c r="H35" s="557"/>
      <c r="I35" s="71" t="s">
        <v>61</v>
      </c>
      <c r="J35" s="72">
        <v>5000</v>
      </c>
      <c r="K35" s="73" t="s">
        <v>14</v>
      </c>
      <c r="L35" s="74" t="s">
        <v>32</v>
      </c>
      <c r="M35" s="73">
        <v>100</v>
      </c>
      <c r="N35" s="73" t="s">
        <v>52</v>
      </c>
      <c r="O35" s="75" t="s">
        <v>27</v>
      </c>
      <c r="P35" s="72">
        <f t="shared" si="0"/>
        <v>500000</v>
      </c>
      <c r="Q35" s="76" t="s">
        <v>14</v>
      </c>
      <c r="S35" s="29"/>
    </row>
    <row r="36" spans="1:19" s="28" customFormat="1" ht="15.95" customHeight="1">
      <c r="A36" s="39"/>
      <c r="B36" s="43"/>
      <c r="C36" s="550"/>
      <c r="D36" s="537"/>
      <c r="E36" s="567"/>
      <c r="F36" s="542"/>
      <c r="G36" s="544"/>
      <c r="H36" s="557"/>
      <c r="I36" s="71" t="s">
        <v>62</v>
      </c>
      <c r="J36" s="72">
        <v>10000</v>
      </c>
      <c r="K36" s="73" t="s">
        <v>23</v>
      </c>
      <c r="L36" s="74" t="s">
        <v>32</v>
      </c>
      <c r="M36" s="73">
        <v>54</v>
      </c>
      <c r="N36" s="73" t="s">
        <v>50</v>
      </c>
      <c r="O36" s="75" t="s">
        <v>34</v>
      </c>
      <c r="P36" s="72">
        <f>SUM(J36*M36)</f>
        <v>540000</v>
      </c>
      <c r="Q36" s="76" t="s">
        <v>23</v>
      </c>
      <c r="S36" s="29"/>
    </row>
    <row r="37" spans="1:19" s="28" customFormat="1" ht="15.95" customHeight="1">
      <c r="A37" s="39"/>
      <c r="B37" s="43"/>
      <c r="C37" s="550"/>
      <c r="D37" s="537"/>
      <c r="E37" s="567"/>
      <c r="F37" s="542"/>
      <c r="G37" s="544"/>
      <c r="H37" s="557"/>
      <c r="I37" s="71" t="s">
        <v>63</v>
      </c>
      <c r="J37" s="72">
        <v>4800000</v>
      </c>
      <c r="K37" s="73" t="s">
        <v>14</v>
      </c>
      <c r="L37" s="74" t="s">
        <v>32</v>
      </c>
      <c r="M37" s="73">
        <v>4</v>
      </c>
      <c r="N37" s="73" t="s">
        <v>42</v>
      </c>
      <c r="O37" s="75" t="s">
        <v>27</v>
      </c>
      <c r="P37" s="72">
        <f>SUM(J37*M37)</f>
        <v>19200000</v>
      </c>
      <c r="Q37" s="76" t="s">
        <v>23</v>
      </c>
      <c r="S37" s="29" t="s">
        <v>47</v>
      </c>
    </row>
    <row r="38" spans="1:19" s="28" customFormat="1" ht="15.95" customHeight="1">
      <c r="A38" s="39"/>
      <c r="B38" s="43"/>
      <c r="C38" s="471"/>
      <c r="D38" s="461"/>
      <c r="E38" s="473"/>
      <c r="F38" s="542"/>
      <c r="G38" s="465"/>
      <c r="H38" s="470"/>
      <c r="I38" s="71" t="s">
        <v>64</v>
      </c>
      <c r="J38" s="72">
        <v>90000</v>
      </c>
      <c r="K38" s="73" t="s">
        <v>14</v>
      </c>
      <c r="L38" s="74" t="s">
        <v>32</v>
      </c>
      <c r="M38" s="73">
        <v>19</v>
      </c>
      <c r="N38" s="73" t="s">
        <v>52</v>
      </c>
      <c r="O38" s="75"/>
      <c r="P38" s="72">
        <f>SUM(J38*M38)</f>
        <v>1710000</v>
      </c>
      <c r="Q38" s="76" t="s">
        <v>23</v>
      </c>
      <c r="S38" s="29"/>
    </row>
    <row r="39" spans="1:19" s="28" customFormat="1" ht="15" customHeight="1">
      <c r="A39" s="18"/>
      <c r="B39" s="43"/>
      <c r="C39" s="550"/>
      <c r="D39" s="77"/>
      <c r="E39" s="78"/>
      <c r="F39" s="542"/>
      <c r="G39" s="79"/>
      <c r="H39" s="80"/>
      <c r="I39" s="580" t="s">
        <v>65</v>
      </c>
      <c r="J39" s="581"/>
      <c r="K39" s="478"/>
      <c r="L39" s="47"/>
      <c r="M39" s="582" t="s">
        <v>22</v>
      </c>
      <c r="N39" s="582"/>
      <c r="O39" s="582"/>
      <c r="P39" s="48">
        <f>SUM(P40:P43)</f>
        <v>2380000</v>
      </c>
      <c r="Q39" s="49" t="s">
        <v>23</v>
      </c>
      <c r="S39" s="29"/>
    </row>
    <row r="40" spans="1:19" s="28" customFormat="1" ht="15" customHeight="1">
      <c r="A40" s="39"/>
      <c r="B40" s="43"/>
      <c r="C40" s="550"/>
      <c r="D40" s="77"/>
      <c r="E40" s="78"/>
      <c r="F40" s="542"/>
      <c r="G40" s="79"/>
      <c r="H40" s="80"/>
      <c r="I40" s="45" t="s">
        <v>66</v>
      </c>
      <c r="J40" s="48">
        <v>5000</v>
      </c>
      <c r="K40" s="478" t="s">
        <v>23</v>
      </c>
      <c r="L40" s="47" t="s">
        <v>32</v>
      </c>
      <c r="M40" s="478">
        <v>300</v>
      </c>
      <c r="N40" s="478" t="s">
        <v>50</v>
      </c>
      <c r="O40" s="52" t="s">
        <v>34</v>
      </c>
      <c r="P40" s="72">
        <v>1500000</v>
      </c>
      <c r="Q40" s="49" t="s">
        <v>23</v>
      </c>
      <c r="S40" s="29"/>
    </row>
    <row r="41" spans="1:19" s="28" customFormat="1" ht="15" customHeight="1">
      <c r="A41" s="39"/>
      <c r="B41" s="43"/>
      <c r="C41" s="550"/>
      <c r="D41" s="77"/>
      <c r="E41" s="78"/>
      <c r="F41" s="542"/>
      <c r="G41" s="79"/>
      <c r="H41" s="80"/>
      <c r="I41" s="45" t="s">
        <v>67</v>
      </c>
      <c r="J41" s="48">
        <v>5000</v>
      </c>
      <c r="K41" s="478" t="s">
        <v>14</v>
      </c>
      <c r="L41" s="47" t="s">
        <v>32</v>
      </c>
      <c r="M41" s="478">
        <v>40</v>
      </c>
      <c r="N41" s="478" t="s">
        <v>52</v>
      </c>
      <c r="O41" s="52" t="s">
        <v>27</v>
      </c>
      <c r="P41" s="72">
        <v>200000</v>
      </c>
      <c r="Q41" s="49" t="s">
        <v>14</v>
      </c>
      <c r="S41" s="29"/>
    </row>
    <row r="42" spans="1:19" s="28" customFormat="1" ht="15" customHeight="1">
      <c r="A42" s="39"/>
      <c r="B42" s="43"/>
      <c r="C42" s="550"/>
      <c r="D42" s="77"/>
      <c r="E42" s="78"/>
      <c r="F42" s="542"/>
      <c r="G42" s="79"/>
      <c r="H42" s="80"/>
      <c r="I42" s="45" t="s">
        <v>68</v>
      </c>
      <c r="J42" s="48">
        <v>30000</v>
      </c>
      <c r="K42" s="478" t="s">
        <v>14</v>
      </c>
      <c r="L42" s="47" t="s">
        <v>32</v>
      </c>
      <c r="M42" s="478">
        <v>16</v>
      </c>
      <c r="N42" s="478" t="s">
        <v>52</v>
      </c>
      <c r="O42" s="478" t="s">
        <v>27</v>
      </c>
      <c r="P42" s="72">
        <v>480000</v>
      </c>
      <c r="Q42" s="49" t="s">
        <v>14</v>
      </c>
      <c r="S42" s="29"/>
    </row>
    <row r="43" spans="1:19" s="28" customFormat="1" ht="15" customHeight="1">
      <c r="A43" s="39"/>
      <c r="B43" s="43"/>
      <c r="C43" s="551"/>
      <c r="D43" s="81"/>
      <c r="E43" s="82"/>
      <c r="F43" s="554"/>
      <c r="G43" s="83"/>
      <c r="H43" s="84"/>
      <c r="I43" s="45" t="s">
        <v>69</v>
      </c>
      <c r="J43" s="48">
        <v>5000</v>
      </c>
      <c r="K43" s="478" t="s">
        <v>14</v>
      </c>
      <c r="L43" s="47" t="s">
        <v>32</v>
      </c>
      <c r="M43" s="478">
        <v>40</v>
      </c>
      <c r="N43" s="478" t="s">
        <v>50</v>
      </c>
      <c r="O43" s="52" t="s">
        <v>34</v>
      </c>
      <c r="P43" s="72">
        <f>SUM(J43*M43)</f>
        <v>200000</v>
      </c>
      <c r="Q43" s="49" t="s">
        <v>14</v>
      </c>
      <c r="S43" s="29"/>
    </row>
    <row r="44" spans="1:19" s="28" customFormat="1" ht="17.45" customHeight="1">
      <c r="A44" s="55" t="s">
        <v>70</v>
      </c>
      <c r="B44" s="563" t="s">
        <v>16</v>
      </c>
      <c r="C44" s="564"/>
      <c r="D44" s="56">
        <f t="shared" ref="D44:F45" si="1">SUM(D45)</f>
        <v>0</v>
      </c>
      <c r="E44" s="57">
        <f t="shared" si="1"/>
        <v>28.29</v>
      </c>
      <c r="F44" s="85">
        <f t="shared" si="1"/>
        <v>2302</v>
      </c>
      <c r="G44" s="59">
        <f t="shared" ref="G44:G49" si="2">+E44-D44</f>
        <v>28.29</v>
      </c>
      <c r="H44" s="60" t="s">
        <v>71</v>
      </c>
      <c r="I44" s="86"/>
      <c r="J44" s="86"/>
      <c r="K44" s="87"/>
      <c r="L44" s="87"/>
      <c r="M44" s="86"/>
      <c r="N44" s="86"/>
      <c r="O44" s="86"/>
      <c r="P44" s="88">
        <f>P45</f>
        <v>28290</v>
      </c>
      <c r="Q44" s="89" t="s">
        <v>14</v>
      </c>
      <c r="S44" s="29"/>
    </row>
    <row r="45" spans="1:19" s="28" customFormat="1" ht="17.45" customHeight="1">
      <c r="A45" s="39"/>
      <c r="B45" s="487" t="s">
        <v>70</v>
      </c>
      <c r="C45" s="90" t="s">
        <v>19</v>
      </c>
      <c r="D45" s="501">
        <f>D46</f>
        <v>0</v>
      </c>
      <c r="E45" s="91">
        <f t="shared" si="1"/>
        <v>28.29</v>
      </c>
      <c r="F45" s="92">
        <f t="shared" si="1"/>
        <v>2302</v>
      </c>
      <c r="G45" s="34">
        <f t="shared" si="2"/>
        <v>28.29</v>
      </c>
      <c r="H45" s="466" t="s">
        <v>71</v>
      </c>
      <c r="I45" s="93"/>
      <c r="J45" s="86"/>
      <c r="K45" s="87"/>
      <c r="L45" s="87"/>
      <c r="M45" s="86"/>
      <c r="N45" s="86"/>
      <c r="O45" s="86"/>
      <c r="P45" s="94">
        <f>P46</f>
        <v>28290</v>
      </c>
      <c r="Q45" s="95" t="s">
        <v>14</v>
      </c>
      <c r="S45" s="29"/>
    </row>
    <row r="46" spans="1:19" s="28" customFormat="1" ht="17.45" customHeight="1">
      <c r="A46" s="39"/>
      <c r="B46" s="43"/>
      <c r="C46" s="460" t="s">
        <v>70</v>
      </c>
      <c r="D46" s="461">
        <v>0</v>
      </c>
      <c r="E46" s="473">
        <f>+P46/1000</f>
        <v>28.29</v>
      </c>
      <c r="F46" s="44">
        <v>2302</v>
      </c>
      <c r="G46" s="34">
        <f t="shared" si="2"/>
        <v>28.29</v>
      </c>
      <c r="H46" s="466" t="s">
        <v>71</v>
      </c>
      <c r="I46" s="45" t="s">
        <v>72</v>
      </c>
      <c r="J46" s="48">
        <v>28290</v>
      </c>
      <c r="K46" s="478" t="s">
        <v>14</v>
      </c>
      <c r="L46" s="47" t="s">
        <v>32</v>
      </c>
      <c r="M46" s="478">
        <v>1</v>
      </c>
      <c r="N46" s="478" t="s">
        <v>42</v>
      </c>
      <c r="O46" s="478" t="s">
        <v>73</v>
      </c>
      <c r="P46" s="48">
        <f>J46*M46</f>
        <v>28290</v>
      </c>
      <c r="Q46" s="49" t="s">
        <v>74</v>
      </c>
      <c r="S46" s="29"/>
    </row>
    <row r="47" spans="1:19" s="28" customFormat="1" ht="15.95" customHeight="1">
      <c r="A47" s="55" t="s">
        <v>75</v>
      </c>
      <c r="B47" s="563" t="s">
        <v>16</v>
      </c>
      <c r="C47" s="564"/>
      <c r="D47" s="56">
        <f t="shared" ref="D47:F48" si="3">SUM(D48)</f>
        <v>125000</v>
      </c>
      <c r="E47" s="57">
        <f t="shared" si="3"/>
        <v>125000</v>
      </c>
      <c r="F47" s="85">
        <f t="shared" si="3"/>
        <v>56700</v>
      </c>
      <c r="G47" s="34">
        <f t="shared" si="2"/>
        <v>0</v>
      </c>
      <c r="H47" s="466">
        <f>+G47/D47*100</f>
        <v>0</v>
      </c>
      <c r="I47" s="61"/>
      <c r="J47" s="61"/>
      <c r="K47" s="459"/>
      <c r="L47" s="459"/>
      <c r="M47" s="61"/>
      <c r="N47" s="61"/>
      <c r="O47" s="61"/>
      <c r="P47" s="62">
        <f>P48</f>
        <v>125000000</v>
      </c>
      <c r="Q47" s="63" t="s">
        <v>14</v>
      </c>
      <c r="S47" s="29"/>
    </row>
    <row r="48" spans="1:19" s="28" customFormat="1" ht="15.95" customHeight="1">
      <c r="A48" s="39"/>
      <c r="B48" s="487" t="s">
        <v>75</v>
      </c>
      <c r="C48" s="90" t="s">
        <v>19</v>
      </c>
      <c r="D48" s="501">
        <f>D49</f>
        <v>125000</v>
      </c>
      <c r="E48" s="91">
        <f t="shared" si="3"/>
        <v>125000</v>
      </c>
      <c r="F48" s="92">
        <f t="shared" si="3"/>
        <v>56700</v>
      </c>
      <c r="G48" s="34">
        <f t="shared" si="2"/>
        <v>0</v>
      </c>
      <c r="H48" s="466">
        <f>+G48/D48*100</f>
        <v>0</v>
      </c>
      <c r="I48" s="96"/>
      <c r="J48" s="61"/>
      <c r="K48" s="459"/>
      <c r="L48" s="459"/>
      <c r="M48" s="61"/>
      <c r="N48" s="61"/>
      <c r="O48" s="61"/>
      <c r="P48" s="97">
        <f>SUM(P49)</f>
        <v>125000000</v>
      </c>
      <c r="Q48" s="98" t="s">
        <v>14</v>
      </c>
      <c r="S48" s="29"/>
    </row>
    <row r="49" spans="1:27" s="28" customFormat="1" ht="15.95" customHeight="1">
      <c r="A49" s="39"/>
      <c r="B49" s="43"/>
      <c r="C49" s="549" t="s">
        <v>76</v>
      </c>
      <c r="D49" s="552">
        <v>125000</v>
      </c>
      <c r="E49" s="566">
        <f>+P49/1000</f>
        <v>125000</v>
      </c>
      <c r="F49" s="541">
        <v>56700</v>
      </c>
      <c r="G49" s="555">
        <f t="shared" si="2"/>
        <v>0</v>
      </c>
      <c r="H49" s="547">
        <f>+G49/D49*100</f>
        <v>0</v>
      </c>
      <c r="I49" s="99"/>
      <c r="J49" s="67"/>
      <c r="K49" s="478"/>
      <c r="L49" s="478"/>
      <c r="M49" s="67" t="s">
        <v>40</v>
      </c>
      <c r="N49" s="67"/>
      <c r="O49" s="67"/>
      <c r="P49" s="68">
        <f>SUM(P50:P50)</f>
        <v>125000000</v>
      </c>
      <c r="Q49" s="49" t="s">
        <v>14</v>
      </c>
      <c r="S49" s="29"/>
    </row>
    <row r="50" spans="1:27" s="28" customFormat="1" ht="15" customHeight="1">
      <c r="A50" s="39"/>
      <c r="B50" s="43"/>
      <c r="C50" s="550"/>
      <c r="D50" s="537"/>
      <c r="E50" s="567"/>
      <c r="F50" s="542"/>
      <c r="G50" s="544"/>
      <c r="H50" s="557"/>
      <c r="I50" s="45" t="s">
        <v>77</v>
      </c>
      <c r="J50" s="51">
        <v>125000000</v>
      </c>
      <c r="K50" s="478" t="s">
        <v>23</v>
      </c>
      <c r="L50" s="47" t="s">
        <v>32</v>
      </c>
      <c r="M50" s="478">
        <v>1</v>
      </c>
      <c r="N50" s="478" t="s">
        <v>33</v>
      </c>
      <c r="O50" s="478" t="s">
        <v>27</v>
      </c>
      <c r="P50" s="51">
        <f>+M50*J50</f>
        <v>125000000</v>
      </c>
      <c r="Q50" s="49" t="s">
        <v>23</v>
      </c>
      <c r="S50" s="29"/>
    </row>
    <row r="51" spans="1:27" s="28" customFormat="1" ht="21" customHeight="1">
      <c r="A51" s="55" t="s">
        <v>78</v>
      </c>
      <c r="B51" s="564" t="s">
        <v>16</v>
      </c>
      <c r="C51" s="575"/>
      <c r="D51" s="56">
        <f>+D52+D70</f>
        <v>1749746</v>
      </c>
      <c r="E51" s="100">
        <f>+E52+E70+1</f>
        <v>1463589.5</v>
      </c>
      <c r="F51" s="58">
        <f>+F52+F70</f>
        <v>1341209</v>
      </c>
      <c r="G51" s="59">
        <f>+E51-D51</f>
        <v>-286156.5</v>
      </c>
      <c r="H51" s="60">
        <f>+G51/D51*100</f>
        <v>-16.354173691495795</v>
      </c>
      <c r="I51" s="101"/>
      <c r="J51" s="101"/>
      <c r="K51" s="102"/>
      <c r="L51" s="103"/>
      <c r="M51" s="101"/>
      <c r="N51" s="101"/>
      <c r="O51" s="101"/>
      <c r="P51" s="104">
        <f>SUM(P52,P70)</f>
        <v>1463589500</v>
      </c>
      <c r="Q51" s="105" t="s">
        <v>14</v>
      </c>
      <c r="S51" s="29"/>
    </row>
    <row r="52" spans="1:27" s="28" customFormat="1" ht="18" customHeight="1">
      <c r="A52" s="39"/>
      <c r="B52" s="487" t="s">
        <v>79</v>
      </c>
      <c r="C52" s="106" t="s">
        <v>19</v>
      </c>
      <c r="D52" s="461">
        <f>SUM(D53:D67)</f>
        <v>1143871</v>
      </c>
      <c r="E52" s="462">
        <f>SUM(E53:E69)</f>
        <v>901960.5</v>
      </c>
      <c r="F52" s="464">
        <f>SUM(F53:F67)</f>
        <v>716655</v>
      </c>
      <c r="G52" s="34">
        <f>E52+1-D52</f>
        <v>-241909.5</v>
      </c>
      <c r="H52" s="466">
        <f>+G52/D52*100</f>
        <v>-21.148320046578679</v>
      </c>
      <c r="I52" s="107"/>
      <c r="J52" s="107"/>
      <c r="K52" s="108"/>
      <c r="L52" s="73"/>
      <c r="M52" s="107"/>
      <c r="N52" s="107"/>
      <c r="O52" s="107"/>
      <c r="P52" s="109">
        <f>SUM(P53,P55,P57,P62,P66)</f>
        <v>901961500</v>
      </c>
      <c r="Q52" s="76" t="s">
        <v>14</v>
      </c>
      <c r="S52" s="29"/>
    </row>
    <row r="53" spans="1:27" s="28" customFormat="1" ht="15" customHeight="1">
      <c r="A53" s="39"/>
      <c r="B53" s="487" t="s">
        <v>78</v>
      </c>
      <c r="C53" s="549" t="s">
        <v>80</v>
      </c>
      <c r="D53" s="552">
        <v>510000</v>
      </c>
      <c r="E53" s="566">
        <f>P53/1000</f>
        <v>510000</v>
      </c>
      <c r="F53" s="541">
        <v>480000</v>
      </c>
      <c r="G53" s="555">
        <f>+E53-D53</f>
        <v>0</v>
      </c>
      <c r="H53" s="547">
        <f>+G53/D53*100</f>
        <v>0</v>
      </c>
      <c r="I53" s="110"/>
      <c r="J53" s="111"/>
      <c r="K53" s="112"/>
      <c r="L53" s="468"/>
      <c r="M53" s="468" t="s">
        <v>22</v>
      </c>
      <c r="N53" s="468"/>
      <c r="O53" s="468"/>
      <c r="P53" s="111">
        <f>SUM(P54:P54)</f>
        <v>510000000</v>
      </c>
      <c r="Q53" s="113" t="s">
        <v>23</v>
      </c>
      <c r="S53" s="29"/>
    </row>
    <row r="54" spans="1:27" s="28" customFormat="1" ht="15" customHeight="1">
      <c r="A54" s="39"/>
      <c r="B54" s="43"/>
      <c r="C54" s="550"/>
      <c r="D54" s="537"/>
      <c r="E54" s="567"/>
      <c r="F54" s="554"/>
      <c r="G54" s="544"/>
      <c r="H54" s="557"/>
      <c r="I54" s="114" t="s">
        <v>81</v>
      </c>
      <c r="J54" s="115">
        <v>510000000</v>
      </c>
      <c r="K54" s="73" t="s">
        <v>23</v>
      </c>
      <c r="L54" s="74" t="s">
        <v>32</v>
      </c>
      <c r="M54" s="73">
        <v>1</v>
      </c>
      <c r="N54" s="73" t="s">
        <v>82</v>
      </c>
      <c r="O54" s="75" t="s">
        <v>34</v>
      </c>
      <c r="P54" s="72">
        <f>SUM(J54*M54)</f>
        <v>510000000</v>
      </c>
      <c r="Q54" s="76" t="s">
        <v>23</v>
      </c>
      <c r="S54" s="29"/>
    </row>
    <row r="55" spans="1:27" s="28" customFormat="1" ht="15" customHeight="1">
      <c r="A55" s="39"/>
      <c r="B55" s="43"/>
      <c r="C55" s="569" t="s">
        <v>83</v>
      </c>
      <c r="D55" s="552">
        <v>50</v>
      </c>
      <c r="E55" s="553">
        <f>+P55/1000</f>
        <v>0</v>
      </c>
      <c r="F55" s="541">
        <v>5050</v>
      </c>
      <c r="G55" s="555">
        <f>+E55-D55</f>
        <v>-50</v>
      </c>
      <c r="H55" s="547">
        <f>+G55/D55*100</f>
        <v>-100</v>
      </c>
      <c r="I55" s="41"/>
      <c r="J55" s="42"/>
      <c r="K55" s="457"/>
      <c r="L55" s="457"/>
      <c r="M55" s="528" t="s">
        <v>22</v>
      </c>
      <c r="N55" s="528"/>
      <c r="O55" s="528"/>
      <c r="P55" s="42">
        <f>SUM(P56)</f>
        <v>0</v>
      </c>
      <c r="Q55" s="38" t="s">
        <v>23</v>
      </c>
      <c r="S55" s="29"/>
    </row>
    <row r="56" spans="1:27" s="28" customFormat="1" ht="15" customHeight="1">
      <c r="A56" s="39"/>
      <c r="B56" s="43"/>
      <c r="C56" s="569"/>
      <c r="D56" s="565"/>
      <c r="E56" s="577"/>
      <c r="F56" s="554"/>
      <c r="G56" s="556"/>
      <c r="H56" s="570" t="e">
        <f>+G56/D56*100</f>
        <v>#DIV/0!</v>
      </c>
      <c r="I56" s="141" t="s">
        <v>84</v>
      </c>
      <c r="J56" s="295">
        <v>0</v>
      </c>
      <c r="K56" s="143" t="s">
        <v>23</v>
      </c>
      <c r="L56" s="144" t="s">
        <v>32</v>
      </c>
      <c r="M56" s="143">
        <v>1</v>
      </c>
      <c r="N56" s="143" t="s">
        <v>82</v>
      </c>
      <c r="O56" s="145" t="s">
        <v>34</v>
      </c>
      <c r="P56" s="295">
        <f>SUM(J56*M56)</f>
        <v>0</v>
      </c>
      <c r="Q56" s="146" t="s">
        <v>23</v>
      </c>
      <c r="S56" s="29"/>
    </row>
    <row r="57" spans="1:27" s="28" customFormat="1" ht="15" customHeight="1">
      <c r="A57" s="39"/>
      <c r="B57" s="43"/>
      <c r="C57" s="576" t="s">
        <v>85</v>
      </c>
      <c r="D57" s="552">
        <v>140260</v>
      </c>
      <c r="E57" s="566">
        <f>P57/1000</f>
        <v>68400</v>
      </c>
      <c r="F57" s="541">
        <v>79390</v>
      </c>
      <c r="G57" s="555">
        <f>+E57-D57</f>
        <v>-71860</v>
      </c>
      <c r="H57" s="547">
        <f>+G57/D57*100</f>
        <v>-51.233423641808074</v>
      </c>
      <c r="I57" s="116"/>
      <c r="J57" s="42"/>
      <c r="K57" s="457"/>
      <c r="L57" s="457"/>
      <c r="M57" s="528" t="s">
        <v>22</v>
      </c>
      <c r="N57" s="528"/>
      <c r="O57" s="528"/>
      <c r="P57" s="42">
        <f>SUM(P58:P61)</f>
        <v>68400000</v>
      </c>
      <c r="Q57" s="38" t="s">
        <v>23</v>
      </c>
      <c r="S57" s="29"/>
    </row>
    <row r="58" spans="1:27" s="28" customFormat="1" ht="15" customHeight="1">
      <c r="A58" s="39"/>
      <c r="B58" s="43"/>
      <c r="C58" s="550"/>
      <c r="D58" s="537"/>
      <c r="E58" s="567"/>
      <c r="F58" s="542"/>
      <c r="G58" s="544"/>
      <c r="H58" s="557"/>
      <c r="I58" s="505" t="s">
        <v>86</v>
      </c>
      <c r="J58" s="506">
        <v>3500000</v>
      </c>
      <c r="K58" s="507" t="s">
        <v>23</v>
      </c>
      <c r="L58" s="508" t="s">
        <v>32</v>
      </c>
      <c r="M58" s="507">
        <v>12</v>
      </c>
      <c r="N58" s="507" t="s">
        <v>87</v>
      </c>
      <c r="O58" s="509" t="s">
        <v>34</v>
      </c>
      <c r="P58" s="506">
        <f>SUM(J58*M58)</f>
        <v>42000000</v>
      </c>
      <c r="Q58" s="510" t="s">
        <v>23</v>
      </c>
      <c r="R58" s="29"/>
      <c r="S58" s="117"/>
      <c r="T58" s="117"/>
    </row>
    <row r="59" spans="1:27" s="28" customFormat="1" ht="15" customHeight="1">
      <c r="A59" s="39"/>
      <c r="B59" s="43"/>
      <c r="C59" s="550"/>
      <c r="D59" s="537"/>
      <c r="E59" s="567"/>
      <c r="F59" s="464"/>
      <c r="G59" s="544"/>
      <c r="H59" s="557"/>
      <c r="I59" s="114" t="s">
        <v>88</v>
      </c>
      <c r="J59" s="72">
        <v>600000</v>
      </c>
      <c r="K59" s="73" t="s">
        <v>23</v>
      </c>
      <c r="L59" s="74" t="s">
        <v>32</v>
      </c>
      <c r="M59" s="73">
        <v>12</v>
      </c>
      <c r="N59" s="73" t="s">
        <v>87</v>
      </c>
      <c r="O59" s="75" t="s">
        <v>34</v>
      </c>
      <c r="P59" s="72">
        <f>SUM(J59*M59)</f>
        <v>7200000</v>
      </c>
      <c r="Q59" s="76" t="s">
        <v>23</v>
      </c>
      <c r="R59" s="29"/>
      <c r="S59" s="117"/>
      <c r="T59" s="117"/>
    </row>
    <row r="60" spans="1:27" s="28" customFormat="1" ht="15" customHeight="1">
      <c r="A60" s="39"/>
      <c r="B60" s="43"/>
      <c r="C60" s="550"/>
      <c r="D60" s="537"/>
      <c r="E60" s="567"/>
      <c r="F60" s="464"/>
      <c r="G60" s="544"/>
      <c r="H60" s="557"/>
      <c r="I60" s="114" t="s">
        <v>89</v>
      </c>
      <c r="J60" s="72">
        <v>18000000</v>
      </c>
      <c r="K60" s="73" t="s">
        <v>23</v>
      </c>
      <c r="L60" s="74" t="s">
        <v>32</v>
      </c>
      <c r="M60" s="73">
        <v>1</v>
      </c>
      <c r="N60" s="73" t="s">
        <v>42</v>
      </c>
      <c r="O60" s="75" t="s">
        <v>34</v>
      </c>
      <c r="P60" s="72">
        <f>SUM(J60*M60)</f>
        <v>18000000</v>
      </c>
      <c r="Q60" s="76" t="s">
        <v>23</v>
      </c>
      <c r="R60" s="118"/>
      <c r="S60" s="119"/>
      <c r="T60" s="119"/>
      <c r="U60" s="120"/>
    </row>
    <row r="61" spans="1:27" s="28" customFormat="1" ht="15" customHeight="1">
      <c r="A61" s="39"/>
      <c r="B61" s="43"/>
      <c r="C61" s="551"/>
      <c r="D61" s="565"/>
      <c r="E61" s="568"/>
      <c r="F61" s="464"/>
      <c r="G61" s="556"/>
      <c r="H61" s="570"/>
      <c r="I61" s="114" t="s">
        <v>90</v>
      </c>
      <c r="J61" s="72">
        <v>100000</v>
      </c>
      <c r="K61" s="73" t="s">
        <v>23</v>
      </c>
      <c r="L61" s="74" t="s">
        <v>32</v>
      </c>
      <c r="M61" s="73">
        <v>12</v>
      </c>
      <c r="N61" s="73" t="s">
        <v>42</v>
      </c>
      <c r="O61" s="75" t="s">
        <v>34</v>
      </c>
      <c r="P61" s="72">
        <f>SUM(J61*M61)</f>
        <v>1200000</v>
      </c>
      <c r="Q61" s="76" t="s">
        <v>23</v>
      </c>
      <c r="R61" s="118"/>
      <c r="S61" s="119"/>
      <c r="T61" s="120"/>
      <c r="U61" s="120"/>
    </row>
    <row r="62" spans="1:27" s="28" customFormat="1" ht="15" customHeight="1">
      <c r="A62" s="39"/>
      <c r="B62" s="43"/>
      <c r="C62" s="549" t="s">
        <v>91</v>
      </c>
      <c r="D62" s="552">
        <v>334000</v>
      </c>
      <c r="E62" s="566">
        <f>+P62/1000</f>
        <v>160000</v>
      </c>
      <c r="F62" s="541">
        <v>90435</v>
      </c>
      <c r="G62" s="555">
        <f>+E62-D62</f>
        <v>-174000</v>
      </c>
      <c r="H62" s="547">
        <f>+G62/D62*100</f>
        <v>-52.095808383233532</v>
      </c>
      <c r="I62" s="110"/>
      <c r="J62" s="121"/>
      <c r="K62" s="468"/>
      <c r="L62" s="468"/>
      <c r="M62" s="558" t="s">
        <v>22</v>
      </c>
      <c r="N62" s="558"/>
      <c r="O62" s="558"/>
      <c r="P62" s="121">
        <f>SUM(P63:P65)</f>
        <v>160000000</v>
      </c>
      <c r="Q62" s="113" t="s">
        <v>23</v>
      </c>
      <c r="R62" s="120"/>
      <c r="S62" s="119"/>
      <c r="T62" s="120"/>
      <c r="U62" s="120"/>
    </row>
    <row r="63" spans="1:27" s="28" customFormat="1" ht="15" customHeight="1">
      <c r="A63" s="39"/>
      <c r="B63" s="43"/>
      <c r="C63" s="550"/>
      <c r="D63" s="537"/>
      <c r="E63" s="567"/>
      <c r="F63" s="542"/>
      <c r="G63" s="544"/>
      <c r="H63" s="557"/>
      <c r="I63" s="114" t="s">
        <v>92</v>
      </c>
      <c r="J63" s="72">
        <v>10000000</v>
      </c>
      <c r="K63" s="73" t="s">
        <v>23</v>
      </c>
      <c r="L63" s="74" t="s">
        <v>32</v>
      </c>
      <c r="M63" s="73">
        <v>12</v>
      </c>
      <c r="N63" s="73" t="s">
        <v>87</v>
      </c>
      <c r="O63" s="75" t="s">
        <v>34</v>
      </c>
      <c r="P63" s="72">
        <f>SUM(J63*M63)</f>
        <v>120000000</v>
      </c>
      <c r="Q63" s="76" t="s">
        <v>23</v>
      </c>
      <c r="R63" s="119"/>
      <c r="S63" s="119"/>
      <c r="T63" s="120"/>
      <c r="U63" s="120"/>
    </row>
    <row r="64" spans="1:27" s="28" customFormat="1" ht="15" customHeight="1">
      <c r="A64" s="39"/>
      <c r="B64" s="43"/>
      <c r="C64" s="550"/>
      <c r="D64" s="537"/>
      <c r="E64" s="567"/>
      <c r="F64" s="464"/>
      <c r="G64" s="544"/>
      <c r="H64" s="557"/>
      <c r="I64" s="114" t="s">
        <v>93</v>
      </c>
      <c r="J64" s="72">
        <v>10000000</v>
      </c>
      <c r="K64" s="73" t="s">
        <v>14</v>
      </c>
      <c r="L64" s="74" t="s">
        <v>32</v>
      </c>
      <c r="M64" s="73">
        <v>1</v>
      </c>
      <c r="N64" s="73" t="s">
        <v>42</v>
      </c>
      <c r="O64" s="75" t="s">
        <v>43</v>
      </c>
      <c r="P64" s="72">
        <f>SUM(J64*M64)</f>
        <v>10000000</v>
      </c>
      <c r="Q64" s="76" t="s">
        <v>23</v>
      </c>
      <c r="R64" s="571"/>
      <c r="S64" s="572"/>
      <c r="T64" s="572"/>
      <c r="U64" s="572"/>
      <c r="AA64" s="28" t="s">
        <v>94</v>
      </c>
    </row>
    <row r="65" spans="1:23" s="28" customFormat="1" ht="15" customHeight="1">
      <c r="A65" s="39"/>
      <c r="B65" s="43"/>
      <c r="C65" s="550"/>
      <c r="D65" s="537"/>
      <c r="E65" s="567"/>
      <c r="F65" s="464"/>
      <c r="G65" s="544"/>
      <c r="H65" s="557"/>
      <c r="I65" s="114" t="s">
        <v>95</v>
      </c>
      <c r="J65" s="72">
        <v>30000000</v>
      </c>
      <c r="K65" s="73" t="s">
        <v>14</v>
      </c>
      <c r="L65" s="74" t="s">
        <v>32</v>
      </c>
      <c r="M65" s="73">
        <v>1</v>
      </c>
      <c r="N65" s="73" t="s">
        <v>42</v>
      </c>
      <c r="O65" s="75" t="s">
        <v>43</v>
      </c>
      <c r="P65" s="72">
        <f>SUM(J65*M65)</f>
        <v>30000000</v>
      </c>
      <c r="Q65" s="76" t="s">
        <v>14</v>
      </c>
      <c r="R65" s="122"/>
      <c r="S65" s="476"/>
      <c r="T65" s="476"/>
      <c r="U65" s="476"/>
    </row>
    <row r="66" spans="1:23" s="28" customFormat="1" ht="20.100000000000001" customHeight="1">
      <c r="A66" s="39"/>
      <c r="B66" s="43"/>
      <c r="C66" s="549" t="s">
        <v>96</v>
      </c>
      <c r="D66" s="552">
        <v>159561</v>
      </c>
      <c r="E66" s="573">
        <f>(P66/1000)-1</f>
        <v>163560.5</v>
      </c>
      <c r="F66" s="463">
        <v>61780</v>
      </c>
      <c r="G66" s="555">
        <f>+E66-D66</f>
        <v>3999.5</v>
      </c>
      <c r="H66" s="547">
        <f>G66/D66*100</f>
        <v>2.5065648874098305</v>
      </c>
      <c r="I66" s="123"/>
      <c r="J66" s="111"/>
      <c r="K66" s="468"/>
      <c r="L66" s="468"/>
      <c r="M66" s="558" t="s">
        <v>22</v>
      </c>
      <c r="N66" s="558"/>
      <c r="O66" s="558"/>
      <c r="P66" s="111">
        <f>SUM(P67:P69)</f>
        <v>163561500</v>
      </c>
      <c r="Q66" s="113" t="s">
        <v>23</v>
      </c>
      <c r="R66" s="120"/>
      <c r="S66" s="118"/>
      <c r="T66" s="120"/>
      <c r="U66" s="120"/>
    </row>
    <row r="67" spans="1:23" s="28" customFormat="1" ht="15.95" customHeight="1">
      <c r="A67" s="39"/>
      <c r="B67" s="43"/>
      <c r="C67" s="550"/>
      <c r="D67" s="537"/>
      <c r="E67" s="574"/>
      <c r="F67" s="464"/>
      <c r="G67" s="544"/>
      <c r="H67" s="557"/>
      <c r="I67" s="114" t="s">
        <v>97</v>
      </c>
      <c r="J67" s="72">
        <v>70000000</v>
      </c>
      <c r="K67" s="73" t="s">
        <v>23</v>
      </c>
      <c r="L67" s="74" t="s">
        <v>32</v>
      </c>
      <c r="M67" s="73">
        <v>1</v>
      </c>
      <c r="N67" s="73" t="s">
        <v>33</v>
      </c>
      <c r="O67" s="75" t="s">
        <v>34</v>
      </c>
      <c r="P67" s="72">
        <f>SUM(J67*M67)</f>
        <v>70000000</v>
      </c>
      <c r="Q67" s="76" t="s">
        <v>23</v>
      </c>
      <c r="S67" s="117"/>
    </row>
    <row r="68" spans="1:23" s="28" customFormat="1" ht="15.95" customHeight="1">
      <c r="A68" s="39"/>
      <c r="B68" s="43"/>
      <c r="C68" s="550"/>
      <c r="D68" s="537"/>
      <c r="E68" s="574"/>
      <c r="F68" s="464"/>
      <c r="G68" s="544"/>
      <c r="H68" s="557"/>
      <c r="I68" s="71" t="s">
        <v>98</v>
      </c>
      <c r="J68" s="72">
        <v>4500000</v>
      </c>
      <c r="K68" s="73" t="s">
        <v>23</v>
      </c>
      <c r="L68" s="74" t="s">
        <v>32</v>
      </c>
      <c r="M68" s="73">
        <v>2</v>
      </c>
      <c r="N68" s="73" t="s">
        <v>33</v>
      </c>
      <c r="O68" s="75" t="s">
        <v>34</v>
      </c>
      <c r="P68" s="72">
        <f>SUM(J68*M68)</f>
        <v>9000000</v>
      </c>
      <c r="Q68" s="76" t="s">
        <v>23</v>
      </c>
      <c r="R68" s="28" t="s">
        <v>99</v>
      </c>
      <c r="S68" s="117"/>
    </row>
    <row r="69" spans="1:23" s="28" customFormat="1" ht="15.95" customHeight="1" thickBot="1">
      <c r="A69" s="39"/>
      <c r="B69" s="43"/>
      <c r="C69" s="550"/>
      <c r="D69" s="537"/>
      <c r="E69" s="574"/>
      <c r="F69" s="464"/>
      <c r="G69" s="544"/>
      <c r="H69" s="557"/>
      <c r="I69" s="124" t="s">
        <v>100</v>
      </c>
      <c r="J69" s="72">
        <v>84561500</v>
      </c>
      <c r="K69" s="73" t="s">
        <v>14</v>
      </c>
      <c r="L69" s="74" t="s">
        <v>32</v>
      </c>
      <c r="M69" s="73">
        <v>1</v>
      </c>
      <c r="N69" s="73" t="s">
        <v>33</v>
      </c>
      <c r="O69" s="75" t="s">
        <v>34</v>
      </c>
      <c r="P69" s="72">
        <f>SUM(J69*M69)</f>
        <v>84561500</v>
      </c>
      <c r="Q69" s="76" t="s">
        <v>23</v>
      </c>
      <c r="S69" s="117"/>
    </row>
    <row r="70" spans="1:23" ht="15.95" customHeight="1">
      <c r="A70" s="125" t="s">
        <v>101</v>
      </c>
      <c r="B70" s="126" t="s">
        <v>102</v>
      </c>
      <c r="C70" s="127" t="s">
        <v>19</v>
      </c>
      <c r="D70" s="128">
        <f>SUM(D71:D85)</f>
        <v>605875</v>
      </c>
      <c r="E70" s="129">
        <f>SUM(E71:E85)</f>
        <v>561628</v>
      </c>
      <c r="F70" s="130">
        <f>SUM(F71:F85)</f>
        <v>624554</v>
      </c>
      <c r="G70" s="131">
        <f>+E70-D70</f>
        <v>-44247</v>
      </c>
      <c r="H70" s="132">
        <f>+G70/D70*100</f>
        <v>-7.3029915411594803</v>
      </c>
      <c r="I70" s="133"/>
      <c r="J70" s="133"/>
      <c r="K70" s="134"/>
      <c r="L70" s="134"/>
      <c r="M70" s="133"/>
      <c r="N70" s="133"/>
      <c r="O70" s="133"/>
      <c r="P70" s="135">
        <f>SUM(P71,P73,P76)</f>
        <v>561628000</v>
      </c>
      <c r="Q70" s="136" t="s">
        <v>14</v>
      </c>
      <c r="S70" s="117"/>
      <c r="T70" s="28"/>
      <c r="U70" s="28"/>
      <c r="V70" s="28"/>
      <c r="W70" s="28"/>
    </row>
    <row r="71" spans="1:23" ht="15.95" customHeight="1">
      <c r="A71" s="39"/>
      <c r="B71" s="43" t="s">
        <v>101</v>
      </c>
      <c r="C71" s="549" t="s">
        <v>103</v>
      </c>
      <c r="D71" s="552">
        <v>28000</v>
      </c>
      <c r="E71" s="566">
        <f>P71/1000</f>
        <v>35000</v>
      </c>
      <c r="F71" s="464"/>
      <c r="G71" s="555">
        <f>E71-D71</f>
        <v>7000</v>
      </c>
      <c r="H71" s="547">
        <v>0</v>
      </c>
      <c r="I71" s="110"/>
      <c r="J71" s="121"/>
      <c r="K71" s="468"/>
      <c r="L71" s="137"/>
      <c r="M71" s="558" t="s">
        <v>40</v>
      </c>
      <c r="N71" s="558"/>
      <c r="O71" s="558"/>
      <c r="P71" s="121">
        <f>P72</f>
        <v>35000000</v>
      </c>
      <c r="Q71" s="113" t="s">
        <v>14</v>
      </c>
      <c r="S71" s="117"/>
      <c r="T71" s="28"/>
      <c r="U71" s="28"/>
      <c r="V71" s="28"/>
      <c r="W71" s="28"/>
    </row>
    <row r="72" spans="1:23" ht="15.95" customHeight="1">
      <c r="A72" s="39"/>
      <c r="B72" s="43"/>
      <c r="C72" s="551"/>
      <c r="D72" s="565"/>
      <c r="E72" s="568"/>
      <c r="F72" s="464"/>
      <c r="G72" s="556"/>
      <c r="H72" s="570"/>
      <c r="I72" s="114" t="s">
        <v>104</v>
      </c>
      <c r="J72" s="72">
        <v>100000</v>
      </c>
      <c r="K72" s="307" t="s">
        <v>23</v>
      </c>
      <c r="L72" s="306" t="s">
        <v>32</v>
      </c>
      <c r="M72" s="307">
        <v>350</v>
      </c>
      <c r="N72" s="307" t="s">
        <v>33</v>
      </c>
      <c r="O72" s="75" t="s">
        <v>34</v>
      </c>
      <c r="P72" s="304">
        <f>J72*M72</f>
        <v>35000000</v>
      </c>
      <c r="Q72" s="76" t="s">
        <v>23</v>
      </c>
      <c r="S72" s="117"/>
      <c r="T72" s="28"/>
      <c r="U72" s="28"/>
      <c r="V72" s="28"/>
      <c r="W72" s="28"/>
    </row>
    <row r="73" spans="1:23" ht="15.95" customHeight="1">
      <c r="A73" s="39"/>
      <c r="B73" s="43"/>
      <c r="C73" s="569" t="s">
        <v>105</v>
      </c>
      <c r="D73" s="552">
        <v>33600</v>
      </c>
      <c r="E73" s="553">
        <f>+P73/1000</f>
        <v>33600</v>
      </c>
      <c r="F73" s="541">
        <v>72575</v>
      </c>
      <c r="G73" s="555">
        <f>+E73-D73</f>
        <v>0</v>
      </c>
      <c r="H73" s="547">
        <f>+G73/D73*100</f>
        <v>0</v>
      </c>
      <c r="I73" s="110"/>
      <c r="J73" s="121"/>
      <c r="K73" s="468"/>
      <c r="L73" s="468"/>
      <c r="M73" s="558" t="s">
        <v>22</v>
      </c>
      <c r="N73" s="558"/>
      <c r="O73" s="558"/>
      <c r="P73" s="121">
        <f>SUM(P74:P75)</f>
        <v>33600000</v>
      </c>
      <c r="Q73" s="113" t="s">
        <v>23</v>
      </c>
      <c r="S73" s="117"/>
      <c r="T73" s="28"/>
      <c r="U73" s="28"/>
      <c r="V73" s="28"/>
      <c r="W73" s="28"/>
    </row>
    <row r="74" spans="1:23" ht="15.95" customHeight="1">
      <c r="A74" s="39"/>
      <c r="B74" s="43"/>
      <c r="C74" s="569"/>
      <c r="D74" s="537"/>
      <c r="E74" s="539"/>
      <c r="F74" s="542"/>
      <c r="G74" s="544">
        <f>+D74-E74</f>
        <v>0</v>
      </c>
      <c r="H74" s="557" t="e">
        <f>+G74/D74*100</f>
        <v>#DIV/0!</v>
      </c>
      <c r="I74" s="114" t="s">
        <v>106</v>
      </c>
      <c r="J74" s="72">
        <v>2000000</v>
      </c>
      <c r="K74" s="73" t="s">
        <v>23</v>
      </c>
      <c r="L74" s="74" t="s">
        <v>32</v>
      </c>
      <c r="M74" s="73">
        <v>12</v>
      </c>
      <c r="N74" s="73" t="s">
        <v>87</v>
      </c>
      <c r="O74" s="75" t="s">
        <v>34</v>
      </c>
      <c r="P74" s="72">
        <f>J74*M74</f>
        <v>24000000</v>
      </c>
      <c r="Q74" s="76" t="s">
        <v>23</v>
      </c>
      <c r="S74" s="117"/>
      <c r="T74" s="28"/>
      <c r="U74" s="28"/>
      <c r="V74" s="28"/>
      <c r="W74" s="28"/>
    </row>
    <row r="75" spans="1:23" ht="15.95" customHeight="1">
      <c r="A75" s="39"/>
      <c r="B75" s="43"/>
      <c r="C75" s="569"/>
      <c r="D75" s="537"/>
      <c r="E75" s="539"/>
      <c r="F75" s="542"/>
      <c r="G75" s="544"/>
      <c r="H75" s="557"/>
      <c r="I75" s="114" t="s">
        <v>107</v>
      </c>
      <c r="J75" s="72">
        <v>800000</v>
      </c>
      <c r="K75" s="73" t="s">
        <v>23</v>
      </c>
      <c r="L75" s="74" t="s">
        <v>32</v>
      </c>
      <c r="M75" s="73">
        <v>12</v>
      </c>
      <c r="N75" s="73" t="s">
        <v>87</v>
      </c>
      <c r="O75" s="75" t="s">
        <v>34</v>
      </c>
      <c r="P75" s="72">
        <f>SUM(J75*M75)</f>
        <v>9600000</v>
      </c>
      <c r="Q75" s="76" t="s">
        <v>23</v>
      </c>
      <c r="S75" s="117"/>
      <c r="T75" s="28"/>
      <c r="U75" s="28"/>
      <c r="V75" s="28"/>
      <c r="W75" s="28"/>
    </row>
    <row r="76" spans="1:23" ht="15.95" customHeight="1">
      <c r="A76" s="39"/>
      <c r="B76" s="43"/>
      <c r="C76" s="569" t="s">
        <v>108</v>
      </c>
      <c r="D76" s="552">
        <v>544275</v>
      </c>
      <c r="E76" s="553">
        <f>+P76/1000</f>
        <v>493028</v>
      </c>
      <c r="F76" s="541">
        <v>551979</v>
      </c>
      <c r="G76" s="555">
        <f>+E76-D76</f>
        <v>-51247</v>
      </c>
      <c r="H76" s="547">
        <f>+G76/D76*100</f>
        <v>-9.415644664921226</v>
      </c>
      <c r="I76" s="110"/>
      <c r="J76" s="121"/>
      <c r="K76" s="468"/>
      <c r="L76" s="468"/>
      <c r="M76" s="468" t="s">
        <v>22</v>
      </c>
      <c r="N76" s="468"/>
      <c r="O76" s="468"/>
      <c r="P76" s="121">
        <f>SUM(P77:P85)</f>
        <v>493028000</v>
      </c>
      <c r="Q76" s="113" t="s">
        <v>23</v>
      </c>
      <c r="S76" s="117"/>
      <c r="T76" s="117"/>
      <c r="U76" s="28"/>
      <c r="V76" s="28"/>
      <c r="W76" s="28"/>
    </row>
    <row r="77" spans="1:23" ht="15.95" customHeight="1">
      <c r="A77" s="39"/>
      <c r="B77" s="43"/>
      <c r="C77" s="569"/>
      <c r="D77" s="537"/>
      <c r="E77" s="539"/>
      <c r="F77" s="542"/>
      <c r="G77" s="544">
        <f>+D77-E77</f>
        <v>0</v>
      </c>
      <c r="H77" s="557" t="e">
        <f>+G77/D77*100</f>
        <v>#DIV/0!</v>
      </c>
      <c r="I77" s="114" t="s">
        <v>109</v>
      </c>
      <c r="J77" s="72">
        <v>12000000</v>
      </c>
      <c r="K77" s="73" t="s">
        <v>23</v>
      </c>
      <c r="L77" s="74" t="s">
        <v>32</v>
      </c>
      <c r="M77" s="73">
        <v>12</v>
      </c>
      <c r="N77" s="73" t="s">
        <v>33</v>
      </c>
      <c r="O77" s="75" t="s">
        <v>34</v>
      </c>
      <c r="P77" s="72">
        <f>J77*M77</f>
        <v>144000000</v>
      </c>
      <c r="Q77" s="76" t="s">
        <v>23</v>
      </c>
      <c r="S77" s="117"/>
      <c r="T77" s="28"/>
      <c r="U77" s="28"/>
      <c r="V77" s="28"/>
      <c r="W77" s="28"/>
    </row>
    <row r="78" spans="1:23" ht="15.95" customHeight="1">
      <c r="A78" s="39"/>
      <c r="B78" s="43"/>
      <c r="C78" s="534"/>
      <c r="D78" s="537"/>
      <c r="E78" s="539"/>
      <c r="F78" s="542"/>
      <c r="G78" s="544"/>
      <c r="H78" s="557" t="e">
        <f>+G78/D78*100</f>
        <v>#DIV/0!</v>
      </c>
      <c r="I78" s="114" t="s">
        <v>110</v>
      </c>
      <c r="J78" s="72">
        <v>21000000</v>
      </c>
      <c r="K78" s="73" t="s">
        <v>23</v>
      </c>
      <c r="L78" s="74" t="s">
        <v>111</v>
      </c>
      <c r="M78" s="73">
        <v>12</v>
      </c>
      <c r="N78" s="73" t="s">
        <v>87</v>
      </c>
      <c r="O78" s="75" t="s">
        <v>34</v>
      </c>
      <c r="P78" s="72">
        <f t="shared" ref="P78:P83" si="4">SUM(J78*M78)</f>
        <v>252000000</v>
      </c>
      <c r="Q78" s="76" t="s">
        <v>23</v>
      </c>
      <c r="S78" s="117"/>
      <c r="T78" s="28"/>
      <c r="U78" s="28"/>
      <c r="V78" s="28"/>
      <c r="W78" s="28"/>
    </row>
    <row r="79" spans="1:23" ht="15.95" customHeight="1">
      <c r="A79" s="39"/>
      <c r="B79" s="43"/>
      <c r="C79" s="534"/>
      <c r="D79" s="537"/>
      <c r="E79" s="539"/>
      <c r="F79" s="542"/>
      <c r="G79" s="544"/>
      <c r="H79" s="557" t="e">
        <f>+G79/D79*100</f>
        <v>#DIV/0!</v>
      </c>
      <c r="I79" s="511" t="s">
        <v>112</v>
      </c>
      <c r="J79" s="72">
        <v>10170000</v>
      </c>
      <c r="K79" s="73" t="s">
        <v>23</v>
      </c>
      <c r="L79" s="74" t="s">
        <v>32</v>
      </c>
      <c r="M79" s="73">
        <v>4</v>
      </c>
      <c r="N79" s="73" t="s">
        <v>33</v>
      </c>
      <c r="O79" s="75" t="s">
        <v>34</v>
      </c>
      <c r="P79" s="72">
        <f t="shared" si="4"/>
        <v>40680000</v>
      </c>
      <c r="Q79" s="76" t="s">
        <v>23</v>
      </c>
      <c r="S79" s="117"/>
      <c r="T79" s="28"/>
      <c r="U79" s="28"/>
      <c r="V79" s="28"/>
      <c r="W79" s="28"/>
    </row>
    <row r="80" spans="1:23" ht="15.95" customHeight="1">
      <c r="A80" s="39"/>
      <c r="B80" s="43"/>
      <c r="C80" s="534"/>
      <c r="D80" s="537"/>
      <c r="E80" s="539"/>
      <c r="F80" s="542"/>
      <c r="G80" s="544"/>
      <c r="H80" s="557"/>
      <c r="I80" s="107" t="s">
        <v>113</v>
      </c>
      <c r="J80" s="72">
        <v>14000000</v>
      </c>
      <c r="K80" s="73" t="s">
        <v>23</v>
      </c>
      <c r="L80" s="74" t="s">
        <v>32</v>
      </c>
      <c r="M80" s="73">
        <v>1</v>
      </c>
      <c r="N80" s="73" t="s">
        <v>33</v>
      </c>
      <c r="O80" s="75" t="s">
        <v>34</v>
      </c>
      <c r="P80" s="72">
        <f t="shared" si="4"/>
        <v>14000000</v>
      </c>
      <c r="Q80" s="76" t="s">
        <v>23</v>
      </c>
      <c r="S80" s="117"/>
      <c r="T80" s="28"/>
      <c r="U80" s="28"/>
      <c r="V80" s="28"/>
      <c r="W80" s="28"/>
    </row>
    <row r="81" spans="1:23" ht="20.100000000000001" customHeight="1">
      <c r="A81" s="39"/>
      <c r="B81" s="43"/>
      <c r="C81" s="534"/>
      <c r="D81" s="537"/>
      <c r="E81" s="539"/>
      <c r="F81" s="542"/>
      <c r="G81" s="544"/>
      <c r="H81" s="557"/>
      <c r="I81" s="107" t="s">
        <v>114</v>
      </c>
      <c r="J81" s="72">
        <v>23860000</v>
      </c>
      <c r="K81" s="73" t="s">
        <v>23</v>
      </c>
      <c r="L81" s="74" t="s">
        <v>32</v>
      </c>
      <c r="M81" s="73">
        <v>1</v>
      </c>
      <c r="N81" s="73" t="s">
        <v>33</v>
      </c>
      <c r="O81" s="75" t="s">
        <v>34</v>
      </c>
      <c r="P81" s="72">
        <f t="shared" si="4"/>
        <v>23860000</v>
      </c>
      <c r="Q81" s="76" t="s">
        <v>23</v>
      </c>
      <c r="S81" s="117"/>
      <c r="T81" s="28"/>
      <c r="U81" s="28"/>
      <c r="V81" s="28"/>
      <c r="W81" s="28"/>
    </row>
    <row r="82" spans="1:23" ht="17.100000000000001" customHeight="1">
      <c r="A82" s="39"/>
      <c r="B82" s="43"/>
      <c r="C82" s="534"/>
      <c r="D82" s="537"/>
      <c r="E82" s="539"/>
      <c r="F82" s="542"/>
      <c r="G82" s="544"/>
      <c r="H82" s="557"/>
      <c r="I82" s="114" t="s">
        <v>115</v>
      </c>
      <c r="J82" s="72">
        <v>1200000</v>
      </c>
      <c r="K82" s="73" t="s">
        <v>23</v>
      </c>
      <c r="L82" s="74" t="s">
        <v>32</v>
      </c>
      <c r="M82" s="73">
        <v>12</v>
      </c>
      <c r="N82" s="73" t="s">
        <v>33</v>
      </c>
      <c r="O82" s="75" t="s">
        <v>34</v>
      </c>
      <c r="P82" s="72">
        <f t="shared" si="4"/>
        <v>14400000</v>
      </c>
      <c r="Q82" s="138" t="s">
        <v>23</v>
      </c>
      <c r="S82" s="117"/>
      <c r="T82" s="28"/>
      <c r="U82" s="28"/>
      <c r="V82" s="28"/>
      <c r="W82" s="28"/>
    </row>
    <row r="83" spans="1:23" ht="17.100000000000001" customHeight="1">
      <c r="A83" s="39"/>
      <c r="B83" s="43"/>
      <c r="C83" s="534"/>
      <c r="D83" s="537"/>
      <c r="E83" s="539"/>
      <c r="F83" s="542"/>
      <c r="G83" s="544"/>
      <c r="H83" s="557" t="e">
        <f>+G83/D83*100</f>
        <v>#DIV/0!</v>
      </c>
      <c r="I83" s="114" t="s">
        <v>116</v>
      </c>
      <c r="J83" s="72">
        <v>250000</v>
      </c>
      <c r="K83" s="73" t="s">
        <v>23</v>
      </c>
      <c r="L83" s="74" t="s">
        <v>32</v>
      </c>
      <c r="M83" s="73">
        <v>12</v>
      </c>
      <c r="N83" s="73" t="s">
        <v>33</v>
      </c>
      <c r="O83" s="75" t="s">
        <v>34</v>
      </c>
      <c r="P83" s="72">
        <f t="shared" si="4"/>
        <v>3000000</v>
      </c>
      <c r="Q83" s="138" t="s">
        <v>23</v>
      </c>
      <c r="S83" s="117"/>
      <c r="T83" s="28"/>
      <c r="U83" s="28"/>
      <c r="V83" s="28"/>
      <c r="W83" s="28"/>
    </row>
    <row r="84" spans="1:23" ht="17.100000000000001" customHeight="1">
      <c r="A84" s="39"/>
      <c r="B84" s="43"/>
      <c r="C84" s="534"/>
      <c r="D84" s="537"/>
      <c r="E84" s="539"/>
      <c r="F84" s="542"/>
      <c r="G84" s="544"/>
      <c r="H84" s="557"/>
      <c r="I84" s="114" t="s">
        <v>117</v>
      </c>
      <c r="J84" s="72">
        <v>20000</v>
      </c>
      <c r="K84" s="73" t="s">
        <v>14</v>
      </c>
      <c r="L84" s="74" t="s">
        <v>32</v>
      </c>
      <c r="M84" s="73">
        <v>10</v>
      </c>
      <c r="N84" s="73" t="s">
        <v>42</v>
      </c>
      <c r="O84" s="75" t="s">
        <v>34</v>
      </c>
      <c r="P84" s="72">
        <f>J84*M84</f>
        <v>200000</v>
      </c>
      <c r="Q84" s="76" t="s">
        <v>23</v>
      </c>
      <c r="S84" s="117"/>
      <c r="T84" s="28"/>
      <c r="U84" s="28"/>
      <c r="V84" s="28"/>
      <c r="W84" s="28"/>
    </row>
    <row r="85" spans="1:23" ht="20.100000000000001" customHeight="1">
      <c r="A85" s="39"/>
      <c r="B85" s="43"/>
      <c r="C85" s="534"/>
      <c r="D85" s="537"/>
      <c r="E85" s="539"/>
      <c r="F85" s="542"/>
      <c r="G85" s="544"/>
      <c r="H85" s="557" t="e">
        <f>+G85/D85*100</f>
        <v>#DIV/0!</v>
      </c>
      <c r="I85" s="511" t="s">
        <v>118</v>
      </c>
      <c r="J85" s="72">
        <v>74000</v>
      </c>
      <c r="K85" s="73" t="s">
        <v>23</v>
      </c>
      <c r="L85" s="74" t="s">
        <v>32</v>
      </c>
      <c r="M85" s="73">
        <v>12</v>
      </c>
      <c r="N85" s="73" t="s">
        <v>33</v>
      </c>
      <c r="O85" s="75" t="s">
        <v>34</v>
      </c>
      <c r="P85" s="72">
        <f>SUM(J85*M85)</f>
        <v>888000</v>
      </c>
      <c r="Q85" s="76" t="s">
        <v>23</v>
      </c>
      <c r="S85" s="117"/>
      <c r="T85" s="28"/>
      <c r="U85" s="28"/>
      <c r="V85" s="28"/>
      <c r="W85" s="28"/>
    </row>
    <row r="86" spans="1:23" ht="20.100000000000001" customHeight="1">
      <c r="A86" s="55" t="s">
        <v>119</v>
      </c>
      <c r="B86" s="563" t="s">
        <v>16</v>
      </c>
      <c r="C86" s="564"/>
      <c r="D86" s="56">
        <f>SUM(D87)</f>
        <v>2629276</v>
      </c>
      <c r="E86" s="57">
        <f>SUM(E87)</f>
        <v>3140134.7880000002</v>
      </c>
      <c r="F86" s="85">
        <f>SUM(F87)</f>
        <v>2029689</v>
      </c>
      <c r="G86" s="59">
        <f>+E86-D86</f>
        <v>510858.78800000018</v>
      </c>
      <c r="H86" s="60">
        <f>+G86/D86*100</f>
        <v>19.429637208113569</v>
      </c>
      <c r="I86" s="61"/>
      <c r="J86" s="61"/>
      <c r="K86" s="459"/>
      <c r="L86" s="459"/>
      <c r="M86" s="61"/>
      <c r="N86" s="61"/>
      <c r="O86" s="61"/>
      <c r="P86" s="62">
        <f>P87</f>
        <v>3140134788</v>
      </c>
      <c r="Q86" s="63" t="s">
        <v>14</v>
      </c>
      <c r="S86" s="117"/>
      <c r="T86" s="28"/>
      <c r="U86" s="28"/>
      <c r="V86" s="28"/>
      <c r="W86" s="28"/>
    </row>
    <row r="87" spans="1:23" ht="15.95" customHeight="1">
      <c r="A87" s="39"/>
      <c r="B87" s="43" t="s">
        <v>119</v>
      </c>
      <c r="C87" s="90" t="s">
        <v>19</v>
      </c>
      <c r="D87" s="501">
        <f>SUM(D88:D100)</f>
        <v>2629276</v>
      </c>
      <c r="E87" s="91">
        <f>SUM(E88:E100)</f>
        <v>3140134.7880000002</v>
      </c>
      <c r="F87" s="139">
        <f>SUM(F88:F100)</f>
        <v>2029689</v>
      </c>
      <c r="G87" s="34">
        <f>+E87-D87</f>
        <v>510858.78800000018</v>
      </c>
      <c r="H87" s="466">
        <f>+G87/D87*100</f>
        <v>19.429637208113569</v>
      </c>
      <c r="I87" s="67"/>
      <c r="J87" s="67"/>
      <c r="K87" s="478"/>
      <c r="L87" s="478"/>
      <c r="M87" s="67"/>
      <c r="N87" s="67"/>
      <c r="O87" s="67"/>
      <c r="P87" s="68">
        <f>SUM(P88,P91,P94,P97)</f>
        <v>3140134788</v>
      </c>
      <c r="Q87" s="49" t="s">
        <v>14</v>
      </c>
      <c r="S87" s="117"/>
      <c r="T87" s="28"/>
      <c r="U87" s="28"/>
      <c r="V87" s="28"/>
      <c r="W87" s="28"/>
    </row>
    <row r="88" spans="1:23" ht="15.95" customHeight="1">
      <c r="A88" s="39"/>
      <c r="B88" s="43"/>
      <c r="C88" s="549" t="s">
        <v>120</v>
      </c>
      <c r="D88" s="552">
        <v>1061660</v>
      </c>
      <c r="E88" s="566">
        <f>+P88/1000</f>
        <v>1061660</v>
      </c>
      <c r="F88" s="541">
        <v>875385</v>
      </c>
      <c r="G88" s="555">
        <f>+E88-D88</f>
        <v>0</v>
      </c>
      <c r="H88" s="547">
        <f>+G88/D88*100</f>
        <v>0</v>
      </c>
      <c r="I88" s="41"/>
      <c r="J88" s="42"/>
      <c r="K88" s="457"/>
      <c r="L88" s="457"/>
      <c r="M88" s="528" t="s">
        <v>22</v>
      </c>
      <c r="N88" s="528"/>
      <c r="O88" s="528"/>
      <c r="P88" s="42">
        <f>SUM(P89:P90)</f>
        <v>1061660000</v>
      </c>
      <c r="Q88" s="38" t="s">
        <v>23</v>
      </c>
      <c r="S88" s="140"/>
    </row>
    <row r="89" spans="1:23" ht="15.95" customHeight="1">
      <c r="A89" s="39"/>
      <c r="B89" s="43"/>
      <c r="C89" s="550"/>
      <c r="D89" s="537"/>
      <c r="E89" s="567"/>
      <c r="F89" s="542"/>
      <c r="G89" s="544">
        <f>+E89-D89</f>
        <v>0</v>
      </c>
      <c r="H89" s="557"/>
      <c r="I89" s="45" t="s">
        <v>121</v>
      </c>
      <c r="J89" s="51">
        <v>11805000</v>
      </c>
      <c r="K89" s="478" t="s">
        <v>23</v>
      </c>
      <c r="L89" s="47" t="s">
        <v>32</v>
      </c>
      <c r="M89" s="478">
        <v>12</v>
      </c>
      <c r="N89" s="478" t="s">
        <v>87</v>
      </c>
      <c r="O89" s="52" t="s">
        <v>34</v>
      </c>
      <c r="P89" s="51">
        <f>J89*M89</f>
        <v>141660000</v>
      </c>
      <c r="Q89" s="49" t="s">
        <v>23</v>
      </c>
    </row>
    <row r="90" spans="1:23" ht="15.95" customHeight="1">
      <c r="A90" s="39"/>
      <c r="B90" s="43"/>
      <c r="C90" s="551"/>
      <c r="D90" s="565"/>
      <c r="E90" s="568"/>
      <c r="F90" s="554"/>
      <c r="G90" s="556">
        <f>+E90-D90</f>
        <v>0</v>
      </c>
      <c r="H90" s="570"/>
      <c r="I90" s="141" t="s">
        <v>122</v>
      </c>
      <c r="J90" s="142">
        <v>920000000</v>
      </c>
      <c r="K90" s="143" t="s">
        <v>23</v>
      </c>
      <c r="L90" s="144" t="s">
        <v>32</v>
      </c>
      <c r="M90" s="143">
        <v>1</v>
      </c>
      <c r="N90" s="143" t="s">
        <v>33</v>
      </c>
      <c r="O90" s="145" t="s">
        <v>34</v>
      </c>
      <c r="P90" s="142">
        <f>SUM(J90*M90)</f>
        <v>920000000</v>
      </c>
      <c r="Q90" s="146" t="s">
        <v>23</v>
      </c>
    </row>
    <row r="91" spans="1:23" ht="15.95" customHeight="1">
      <c r="A91" s="39"/>
      <c r="B91" s="106"/>
      <c r="C91" s="549" t="s">
        <v>123</v>
      </c>
      <c r="D91" s="552">
        <v>637682</v>
      </c>
      <c r="E91" s="553">
        <f>+P91/1000</f>
        <v>648541.20799999998</v>
      </c>
      <c r="F91" s="541">
        <v>593059</v>
      </c>
      <c r="G91" s="555">
        <f>E91-D91</f>
        <v>10859.207999999984</v>
      </c>
      <c r="H91" s="547">
        <f>+G91/D91*100</f>
        <v>1.7029190097885754</v>
      </c>
      <c r="I91" s="41"/>
      <c r="J91" s="54"/>
      <c r="K91" s="457"/>
      <c r="L91" s="457"/>
      <c r="M91" s="528" t="s">
        <v>22</v>
      </c>
      <c r="N91" s="528"/>
      <c r="O91" s="528"/>
      <c r="P91" s="54">
        <f>SUM(P92:P93)</f>
        <v>648541208</v>
      </c>
      <c r="Q91" s="38" t="s">
        <v>23</v>
      </c>
    </row>
    <row r="92" spans="1:23" ht="15.95" customHeight="1">
      <c r="A92" s="39"/>
      <c r="B92" s="106"/>
      <c r="C92" s="550"/>
      <c r="D92" s="537"/>
      <c r="E92" s="539"/>
      <c r="F92" s="542"/>
      <c r="G92" s="544"/>
      <c r="H92" s="557"/>
      <c r="I92" s="107" t="s">
        <v>124</v>
      </c>
      <c r="J92" s="72">
        <v>164654000</v>
      </c>
      <c r="K92" s="147" t="s">
        <v>14</v>
      </c>
      <c r="L92" s="148" t="s">
        <v>32</v>
      </c>
      <c r="M92" s="147">
        <v>1</v>
      </c>
      <c r="N92" s="147" t="s">
        <v>33</v>
      </c>
      <c r="O92" s="149" t="s">
        <v>34</v>
      </c>
      <c r="P92" s="48">
        <f>SUM(J92*M92)</f>
        <v>164654000</v>
      </c>
      <c r="Q92" s="27" t="s">
        <v>23</v>
      </c>
    </row>
    <row r="93" spans="1:23" ht="15.95" customHeight="1">
      <c r="A93" s="39"/>
      <c r="B93" s="106"/>
      <c r="C93" s="551"/>
      <c r="D93" s="537"/>
      <c r="E93" s="539"/>
      <c r="F93" s="554"/>
      <c r="G93" s="556"/>
      <c r="H93" s="557" t="e">
        <f>+G93/D93*100</f>
        <v>#DIV/0!</v>
      </c>
      <c r="I93" s="114" t="s">
        <v>125</v>
      </c>
      <c r="J93" s="72">
        <v>483887208</v>
      </c>
      <c r="K93" s="73" t="s">
        <v>23</v>
      </c>
      <c r="L93" s="74" t="s">
        <v>32</v>
      </c>
      <c r="M93" s="73">
        <v>1</v>
      </c>
      <c r="N93" s="73" t="s">
        <v>82</v>
      </c>
      <c r="O93" s="75" t="s">
        <v>34</v>
      </c>
      <c r="P93" s="72">
        <f>SUM(J93*M93)</f>
        <v>483887208</v>
      </c>
      <c r="Q93" s="76" t="s">
        <v>23</v>
      </c>
      <c r="T93" s="150"/>
    </row>
    <row r="94" spans="1:23" ht="15.95" customHeight="1">
      <c r="A94" s="39"/>
      <c r="B94" s="106"/>
      <c r="C94" s="560" t="s">
        <v>126</v>
      </c>
      <c r="D94" s="552">
        <v>608934</v>
      </c>
      <c r="E94" s="553">
        <f>+P94/1000</f>
        <v>608933.57999999996</v>
      </c>
      <c r="F94" s="541">
        <v>538723</v>
      </c>
      <c r="G94" s="555">
        <f>+E94-D94</f>
        <v>-0.42000000004190952</v>
      </c>
      <c r="H94" s="547">
        <f>+G94/D94*100</f>
        <v>-6.897299215381462E-5</v>
      </c>
      <c r="I94" s="110"/>
      <c r="J94" s="121"/>
      <c r="K94" s="468"/>
      <c r="L94" s="468"/>
      <c r="M94" s="558" t="s">
        <v>22</v>
      </c>
      <c r="N94" s="558"/>
      <c r="O94" s="558"/>
      <c r="P94" s="121">
        <f>SUM(P95:P96)</f>
        <v>608933580</v>
      </c>
      <c r="Q94" s="113" t="s">
        <v>23</v>
      </c>
    </row>
    <row r="95" spans="1:23" ht="15.95" customHeight="1">
      <c r="A95" s="39"/>
      <c r="B95" s="106"/>
      <c r="C95" s="561"/>
      <c r="D95" s="537"/>
      <c r="E95" s="539"/>
      <c r="F95" s="542"/>
      <c r="G95" s="544"/>
      <c r="H95" s="557"/>
      <c r="I95" s="107" t="s">
        <v>127</v>
      </c>
      <c r="J95" s="72">
        <v>128518040</v>
      </c>
      <c r="K95" s="73" t="s">
        <v>14</v>
      </c>
      <c r="L95" s="74" t="s">
        <v>32</v>
      </c>
      <c r="M95" s="73">
        <v>1</v>
      </c>
      <c r="N95" s="73" t="s">
        <v>33</v>
      </c>
      <c r="O95" s="75" t="s">
        <v>34</v>
      </c>
      <c r="P95" s="72">
        <f>SUM(J95*M95)</f>
        <v>128518040</v>
      </c>
      <c r="Q95" s="76" t="s">
        <v>23</v>
      </c>
    </row>
    <row r="96" spans="1:23" ht="15.95" customHeight="1">
      <c r="A96" s="39"/>
      <c r="B96" s="106"/>
      <c r="C96" s="562"/>
      <c r="D96" s="537"/>
      <c r="E96" s="539"/>
      <c r="F96" s="554"/>
      <c r="G96" s="544">
        <f>+D96-E96</f>
        <v>0</v>
      </c>
      <c r="H96" s="557" t="e">
        <f>+G96/D96*100</f>
        <v>#DIV/0!</v>
      </c>
      <c r="I96" s="114" t="s">
        <v>125</v>
      </c>
      <c r="J96" s="72">
        <v>480415540</v>
      </c>
      <c r="K96" s="73" t="s">
        <v>23</v>
      </c>
      <c r="L96" s="74" t="s">
        <v>32</v>
      </c>
      <c r="M96" s="73">
        <v>1</v>
      </c>
      <c r="N96" s="73" t="s">
        <v>82</v>
      </c>
      <c r="O96" s="75" t="s">
        <v>34</v>
      </c>
      <c r="P96" s="72">
        <f>SUM(J96*M96)</f>
        <v>480415540</v>
      </c>
      <c r="Q96" s="76" t="s">
        <v>23</v>
      </c>
    </row>
    <row r="97" spans="1:20" ht="15.95" customHeight="1">
      <c r="A97" s="39"/>
      <c r="B97" s="106"/>
      <c r="C97" s="534" t="s">
        <v>128</v>
      </c>
      <c r="D97" s="552">
        <v>321000</v>
      </c>
      <c r="E97" s="553">
        <f>+P97/1000</f>
        <v>821000</v>
      </c>
      <c r="F97" s="541">
        <v>22522</v>
      </c>
      <c r="G97" s="555">
        <f>+E97-D97</f>
        <v>500000</v>
      </c>
      <c r="H97" s="547">
        <f>+G97/D97*100</f>
        <v>155.76323987538942</v>
      </c>
      <c r="I97" s="110"/>
      <c r="J97" s="111"/>
      <c r="K97" s="468"/>
      <c r="L97" s="468"/>
      <c r="M97" s="558" t="s">
        <v>22</v>
      </c>
      <c r="N97" s="558"/>
      <c r="O97" s="558"/>
      <c r="P97" s="111">
        <f>SUM(P98:P100)</f>
        <v>821000000</v>
      </c>
      <c r="Q97" s="113" t="s">
        <v>23</v>
      </c>
    </row>
    <row r="98" spans="1:20" ht="15.95" customHeight="1">
      <c r="A98" s="39"/>
      <c r="B98" s="106"/>
      <c r="C98" s="535"/>
      <c r="D98" s="537"/>
      <c r="E98" s="539"/>
      <c r="F98" s="542"/>
      <c r="G98" s="544"/>
      <c r="H98" s="557"/>
      <c r="I98" s="151" t="s">
        <v>129</v>
      </c>
      <c r="J98" s="72">
        <v>6750000</v>
      </c>
      <c r="K98" s="73" t="s">
        <v>23</v>
      </c>
      <c r="L98" s="74" t="s">
        <v>32</v>
      </c>
      <c r="M98" s="73">
        <v>12</v>
      </c>
      <c r="N98" s="73" t="s">
        <v>87</v>
      </c>
      <c r="O98" s="75" t="s">
        <v>34</v>
      </c>
      <c r="P98" s="72">
        <f>SUM(J98*M98)</f>
        <v>81000000</v>
      </c>
      <c r="Q98" s="76" t="s">
        <v>23</v>
      </c>
    </row>
    <row r="99" spans="1:20" ht="15.95" customHeight="1">
      <c r="A99" s="39"/>
      <c r="B99" s="106"/>
      <c r="C99" s="535"/>
      <c r="D99" s="537"/>
      <c r="E99" s="539"/>
      <c r="F99" s="542"/>
      <c r="G99" s="544"/>
      <c r="H99" s="557"/>
      <c r="I99" s="152" t="s">
        <v>130</v>
      </c>
      <c r="J99" s="72">
        <v>60000000</v>
      </c>
      <c r="K99" s="73" t="s">
        <v>23</v>
      </c>
      <c r="L99" s="74" t="s">
        <v>32</v>
      </c>
      <c r="M99" s="73">
        <v>4</v>
      </c>
      <c r="N99" s="73" t="s">
        <v>33</v>
      </c>
      <c r="O99" s="75" t="s">
        <v>34</v>
      </c>
      <c r="P99" s="72">
        <f>SUM(J99*M99)</f>
        <v>240000000</v>
      </c>
      <c r="Q99" s="76" t="s">
        <v>23</v>
      </c>
    </row>
    <row r="100" spans="1:20" ht="15.95" customHeight="1" thickBot="1">
      <c r="A100" s="153"/>
      <c r="B100" s="154"/>
      <c r="C100" s="536"/>
      <c r="D100" s="538"/>
      <c r="E100" s="540"/>
      <c r="F100" s="543"/>
      <c r="G100" s="545"/>
      <c r="H100" s="559"/>
      <c r="I100" s="512" t="s">
        <v>131</v>
      </c>
      <c r="J100" s="513">
        <v>500000000</v>
      </c>
      <c r="K100" s="514" t="s">
        <v>132</v>
      </c>
      <c r="L100" s="515" t="s">
        <v>32</v>
      </c>
      <c r="M100" s="514">
        <v>1</v>
      </c>
      <c r="N100" s="514" t="s">
        <v>133</v>
      </c>
      <c r="O100" s="516" t="s">
        <v>134</v>
      </c>
      <c r="P100" s="513">
        <f>SUM(J100*M100)</f>
        <v>500000000</v>
      </c>
      <c r="Q100" s="517" t="s">
        <v>23</v>
      </c>
    </row>
    <row r="101" spans="1:20" ht="15.95" customHeight="1">
      <c r="A101" s="18" t="s">
        <v>135</v>
      </c>
      <c r="B101" s="529" t="s">
        <v>16</v>
      </c>
      <c r="C101" s="530"/>
      <c r="D101" s="155">
        <f>SUM(D102)</f>
        <v>2613456</v>
      </c>
      <c r="E101" s="156">
        <f>SUM(E102)</f>
        <v>2613455.9270000001</v>
      </c>
      <c r="F101" s="157">
        <f>SUM(F102)</f>
        <v>1596860</v>
      </c>
      <c r="G101" s="158">
        <f>+E101-D101</f>
        <v>-7.2999999858438969E-2</v>
      </c>
      <c r="H101" s="159">
        <f t="shared" ref="H101:H114" si="5">+G101/D101*100</f>
        <v>-2.7932362304335319E-6</v>
      </c>
      <c r="I101" s="67"/>
      <c r="J101" s="67"/>
      <c r="K101" s="478"/>
      <c r="L101" s="478"/>
      <c r="M101" s="67"/>
      <c r="N101" s="67"/>
      <c r="O101" s="67"/>
      <c r="P101" s="26">
        <f>SUM(P102)</f>
        <v>2613455927</v>
      </c>
      <c r="Q101" s="27" t="s">
        <v>136</v>
      </c>
    </row>
    <row r="102" spans="1:20" ht="15.95" customHeight="1">
      <c r="A102" s="39"/>
      <c r="B102" s="160" t="s">
        <v>137</v>
      </c>
      <c r="C102" s="491" t="s">
        <v>138</v>
      </c>
      <c r="D102" s="469">
        <f>SUM(D103:D105)</f>
        <v>2613456</v>
      </c>
      <c r="E102" s="161">
        <f>SUM(E103:E105)</f>
        <v>2613455.9270000001</v>
      </c>
      <c r="F102" s="162">
        <f>SUM(F103:F105)</f>
        <v>1596860</v>
      </c>
      <c r="G102" s="34">
        <f>E102-D102</f>
        <v>-7.2999999858438969E-2</v>
      </c>
      <c r="H102" s="466">
        <f t="shared" si="5"/>
        <v>-2.7932362304335319E-6</v>
      </c>
      <c r="I102" s="69" t="s">
        <v>139</v>
      </c>
      <c r="J102" s="61" t="s">
        <v>139</v>
      </c>
      <c r="K102" s="457"/>
      <c r="L102" s="457"/>
      <c r="M102" s="69"/>
      <c r="N102" s="531" t="s">
        <v>140</v>
      </c>
      <c r="O102" s="531"/>
      <c r="P102" s="37">
        <f>SUM(P103:P105)</f>
        <v>2613455927</v>
      </c>
      <c r="Q102" s="38" t="s">
        <v>141</v>
      </c>
    </row>
    <row r="103" spans="1:20" ht="15.95" customHeight="1">
      <c r="A103" s="39"/>
      <c r="B103" s="43"/>
      <c r="C103" s="163" t="s">
        <v>142</v>
      </c>
      <c r="D103" s="164">
        <v>868169</v>
      </c>
      <c r="E103" s="165">
        <f>+P103/1000</f>
        <v>868169.29799999995</v>
      </c>
      <c r="F103" s="166">
        <v>313065</v>
      </c>
      <c r="G103" s="34">
        <f>E103-D103</f>
        <v>0.29799999995157123</v>
      </c>
      <c r="H103" s="466">
        <f t="shared" si="5"/>
        <v>3.4325114113907682E-5</v>
      </c>
      <c r="I103" s="167" t="s">
        <v>143</v>
      </c>
      <c r="J103" s="168">
        <v>868169298</v>
      </c>
      <c r="K103" s="61" t="s">
        <v>74</v>
      </c>
      <c r="L103" s="169" t="s">
        <v>32</v>
      </c>
      <c r="M103" s="459">
        <v>1</v>
      </c>
      <c r="N103" s="459" t="s">
        <v>144</v>
      </c>
      <c r="O103" s="170" t="s">
        <v>73</v>
      </c>
      <c r="P103" s="171">
        <f>+J103*M103</f>
        <v>868169298</v>
      </c>
      <c r="Q103" s="98" t="s">
        <v>74</v>
      </c>
    </row>
    <row r="104" spans="1:20" ht="15.95" customHeight="1">
      <c r="A104" s="39"/>
      <c r="B104" s="43"/>
      <c r="C104" s="163" t="s">
        <v>145</v>
      </c>
      <c r="D104" s="172">
        <v>669053</v>
      </c>
      <c r="E104" s="165">
        <f>+P104/1000</f>
        <v>669053.071</v>
      </c>
      <c r="F104" s="166">
        <v>1283795</v>
      </c>
      <c r="G104" s="34">
        <f>E104-D104</f>
        <v>7.099999999627471E-2</v>
      </c>
      <c r="H104" s="466">
        <f t="shared" si="5"/>
        <v>1.0612014294274849E-5</v>
      </c>
      <c r="I104" s="167" t="s">
        <v>146</v>
      </c>
      <c r="J104" s="168">
        <v>669053071</v>
      </c>
      <c r="K104" s="61" t="s">
        <v>74</v>
      </c>
      <c r="L104" s="169" t="s">
        <v>32</v>
      </c>
      <c r="M104" s="459">
        <v>1</v>
      </c>
      <c r="N104" s="459" t="s">
        <v>144</v>
      </c>
      <c r="O104" s="170" t="s">
        <v>73</v>
      </c>
      <c r="P104" s="171">
        <f>+J104*M104</f>
        <v>669053071</v>
      </c>
      <c r="Q104" s="98" t="s">
        <v>74</v>
      </c>
    </row>
    <row r="105" spans="1:20" ht="15.95" customHeight="1">
      <c r="A105" s="39"/>
      <c r="B105" s="43" t="s">
        <v>139</v>
      </c>
      <c r="C105" s="173" t="s">
        <v>147</v>
      </c>
      <c r="D105" s="172">
        <v>1076234</v>
      </c>
      <c r="E105" s="165">
        <f>+P105/1000</f>
        <v>1076233.558</v>
      </c>
      <c r="F105" s="166">
        <v>0</v>
      </c>
      <c r="G105" s="34">
        <f>E105-D105</f>
        <v>-0.44200000003911555</v>
      </c>
      <c r="H105" s="466">
        <f t="shared" si="5"/>
        <v>-4.1069135526206715E-5</v>
      </c>
      <c r="I105" s="41" t="s">
        <v>148</v>
      </c>
      <c r="J105" s="168">
        <v>1076233558</v>
      </c>
      <c r="K105" s="69" t="s">
        <v>74</v>
      </c>
      <c r="L105" s="53" t="s">
        <v>32</v>
      </c>
      <c r="M105" s="457">
        <v>1</v>
      </c>
      <c r="N105" s="457" t="s">
        <v>144</v>
      </c>
      <c r="O105" s="174" t="s">
        <v>73</v>
      </c>
      <c r="P105" s="54">
        <f>+J105*M105</f>
        <v>1076233558</v>
      </c>
      <c r="Q105" s="38" t="s">
        <v>74</v>
      </c>
    </row>
    <row r="106" spans="1:20" ht="15.95" customHeight="1">
      <c r="A106" s="55" t="s">
        <v>149</v>
      </c>
      <c r="B106" s="532" t="s">
        <v>150</v>
      </c>
      <c r="C106" s="533"/>
      <c r="D106" s="175">
        <f>D107</f>
        <v>223771</v>
      </c>
      <c r="E106" s="176">
        <f>E107</f>
        <v>226035.11</v>
      </c>
      <c r="F106" s="177">
        <f>F107</f>
        <v>0</v>
      </c>
      <c r="G106" s="178">
        <f>G107</f>
        <v>2264.109999999986</v>
      </c>
      <c r="H106" s="60">
        <f t="shared" si="5"/>
        <v>1.0117977754043133</v>
      </c>
      <c r="I106" s="41"/>
      <c r="J106" s="54"/>
      <c r="K106" s="69"/>
      <c r="L106" s="53"/>
      <c r="M106" s="457"/>
      <c r="N106" s="457"/>
      <c r="O106" s="174"/>
      <c r="P106" s="179">
        <f>SUM(P107)</f>
        <v>226035110</v>
      </c>
      <c r="Q106" s="180" t="s">
        <v>14</v>
      </c>
    </row>
    <row r="107" spans="1:20" ht="15.95" customHeight="1">
      <c r="A107" s="18"/>
      <c r="B107" s="43" t="s">
        <v>151</v>
      </c>
      <c r="C107" s="496" t="s">
        <v>152</v>
      </c>
      <c r="D107" s="181">
        <f>SUM(D108:D114)</f>
        <v>223771</v>
      </c>
      <c r="E107" s="182">
        <f>SUM(E108:E114)</f>
        <v>226035.11</v>
      </c>
      <c r="F107" s="183"/>
      <c r="G107" s="34">
        <f>E107-D107</f>
        <v>2264.109999999986</v>
      </c>
      <c r="H107" s="467">
        <f>G107/D107*100</f>
        <v>1.0117977754043133</v>
      </c>
      <c r="I107" s="41"/>
      <c r="J107" s="54"/>
      <c r="K107" s="69"/>
      <c r="L107" s="53"/>
      <c r="M107" s="457"/>
      <c r="N107" s="531" t="s">
        <v>40</v>
      </c>
      <c r="O107" s="531"/>
      <c r="P107" s="54">
        <f>SUM(P108:P110)</f>
        <v>226035110</v>
      </c>
      <c r="Q107" s="38" t="s">
        <v>14</v>
      </c>
    </row>
    <row r="108" spans="1:20" ht="15.95" customHeight="1">
      <c r="A108" s="39"/>
      <c r="B108" s="43"/>
      <c r="C108" s="184" t="s">
        <v>153</v>
      </c>
      <c r="D108" s="501">
        <v>8000</v>
      </c>
      <c r="E108" s="185">
        <f>P108/1000</f>
        <v>8000</v>
      </c>
      <c r="F108" s="186"/>
      <c r="G108" s="34">
        <f>+E108-D108</f>
        <v>0</v>
      </c>
      <c r="H108" s="467">
        <f>G108/D108*100</f>
        <v>0</v>
      </c>
      <c r="I108" s="167" t="s">
        <v>154</v>
      </c>
      <c r="J108" s="168">
        <v>2000000</v>
      </c>
      <c r="K108" s="459" t="s">
        <v>23</v>
      </c>
      <c r="L108" s="169" t="s">
        <v>32</v>
      </c>
      <c r="M108" s="459">
        <v>4</v>
      </c>
      <c r="N108" s="459" t="s">
        <v>155</v>
      </c>
      <c r="O108" s="170" t="s">
        <v>34</v>
      </c>
      <c r="P108" s="168">
        <f>SUM(J108*M108)</f>
        <v>8000000</v>
      </c>
      <c r="Q108" s="98" t="s">
        <v>23</v>
      </c>
      <c r="T108" s="2"/>
    </row>
    <row r="109" spans="1:20" ht="15.95" customHeight="1">
      <c r="A109" s="39"/>
      <c r="B109" s="43"/>
      <c r="C109" s="474" t="s">
        <v>156</v>
      </c>
      <c r="D109" s="501">
        <v>5872</v>
      </c>
      <c r="E109" s="185">
        <f>P109/1000</f>
        <v>5872.11</v>
      </c>
      <c r="F109" s="186"/>
      <c r="G109" s="34">
        <f>+E109-D109</f>
        <v>0.10999999999967258</v>
      </c>
      <c r="H109" s="466">
        <f>G109/D109*100</f>
        <v>1.8732970027192197E-3</v>
      </c>
      <c r="I109" s="187" t="s">
        <v>157</v>
      </c>
      <c r="J109" s="168">
        <v>5872110</v>
      </c>
      <c r="K109" s="459" t="s">
        <v>74</v>
      </c>
      <c r="L109" s="459" t="s">
        <v>32</v>
      </c>
      <c r="M109" s="61">
        <v>1</v>
      </c>
      <c r="N109" s="459" t="s">
        <v>158</v>
      </c>
      <c r="O109" s="61" t="s">
        <v>73</v>
      </c>
      <c r="P109" s="168">
        <f>J109*M109</f>
        <v>5872110</v>
      </c>
      <c r="Q109" s="98" t="s">
        <v>74</v>
      </c>
      <c r="T109" s="2"/>
    </row>
    <row r="110" spans="1:20" ht="15.95" customHeight="1">
      <c r="A110" s="39"/>
      <c r="B110" s="43"/>
      <c r="C110" s="534" t="s">
        <v>159</v>
      </c>
      <c r="D110" s="537">
        <v>209899</v>
      </c>
      <c r="E110" s="539">
        <f>+P110/1000</f>
        <v>212163</v>
      </c>
      <c r="F110" s="541">
        <v>6500</v>
      </c>
      <c r="G110" s="544">
        <f>+E110-D110</f>
        <v>2264</v>
      </c>
      <c r="H110" s="546">
        <f t="shared" si="5"/>
        <v>1.0786140000666986</v>
      </c>
      <c r="I110" s="41"/>
      <c r="J110" s="42"/>
      <c r="K110" s="457"/>
      <c r="L110" s="457"/>
      <c r="M110" s="528" t="s">
        <v>22</v>
      </c>
      <c r="N110" s="528"/>
      <c r="O110" s="528"/>
      <c r="P110" s="42">
        <f>SUM(P111:P114)</f>
        <v>212163000</v>
      </c>
      <c r="Q110" s="38" t="s">
        <v>23</v>
      </c>
      <c r="T110" s="2"/>
    </row>
    <row r="111" spans="1:20" ht="15.95" customHeight="1">
      <c r="A111" s="39"/>
      <c r="B111" s="43"/>
      <c r="C111" s="535"/>
      <c r="D111" s="537"/>
      <c r="E111" s="539"/>
      <c r="F111" s="542"/>
      <c r="G111" s="544"/>
      <c r="H111" s="546" t="e">
        <f t="shared" si="5"/>
        <v>#DIV/0!</v>
      </c>
      <c r="I111" s="114" t="s">
        <v>160</v>
      </c>
      <c r="J111" s="188">
        <v>6000000</v>
      </c>
      <c r="K111" s="73" t="s">
        <v>23</v>
      </c>
      <c r="L111" s="74" t="s">
        <v>32</v>
      </c>
      <c r="M111" s="73">
        <v>12</v>
      </c>
      <c r="N111" s="73" t="s">
        <v>33</v>
      </c>
      <c r="O111" s="75" t="s">
        <v>34</v>
      </c>
      <c r="P111" s="188">
        <f>J111*M111</f>
        <v>72000000</v>
      </c>
      <c r="Q111" s="76" t="s">
        <v>23</v>
      </c>
      <c r="T111" s="2"/>
    </row>
    <row r="112" spans="1:20" ht="15.95" customHeight="1">
      <c r="A112" s="39"/>
      <c r="B112" s="43"/>
      <c r="C112" s="535"/>
      <c r="D112" s="537"/>
      <c r="E112" s="539"/>
      <c r="F112" s="542"/>
      <c r="G112" s="544"/>
      <c r="H112" s="547"/>
      <c r="I112" s="114" t="s">
        <v>161</v>
      </c>
      <c r="J112" s="188">
        <v>137799000</v>
      </c>
      <c r="K112" s="73" t="s">
        <v>23</v>
      </c>
      <c r="L112" s="74" t="s">
        <v>32</v>
      </c>
      <c r="M112" s="73">
        <v>1</v>
      </c>
      <c r="N112" s="73" t="s">
        <v>42</v>
      </c>
      <c r="O112" s="75" t="s">
        <v>34</v>
      </c>
      <c r="P112" s="188">
        <f>J112*M112</f>
        <v>137799000</v>
      </c>
      <c r="Q112" s="76" t="s">
        <v>23</v>
      </c>
      <c r="T112" s="2"/>
    </row>
    <row r="113" spans="1:20" ht="15.95" customHeight="1">
      <c r="A113" s="39"/>
      <c r="B113" s="43"/>
      <c r="C113" s="535"/>
      <c r="D113" s="537"/>
      <c r="E113" s="539"/>
      <c r="F113" s="542"/>
      <c r="G113" s="544"/>
      <c r="H113" s="547"/>
      <c r="I113" s="114" t="s">
        <v>162</v>
      </c>
      <c r="J113" s="188">
        <v>2264000</v>
      </c>
      <c r="K113" s="73" t="s">
        <v>23</v>
      </c>
      <c r="L113" s="74" t="s">
        <v>32</v>
      </c>
      <c r="M113" s="73">
        <v>1</v>
      </c>
      <c r="N113" s="73" t="s">
        <v>42</v>
      </c>
      <c r="O113" s="75" t="s">
        <v>34</v>
      </c>
      <c r="P113" s="188">
        <f>J113*M113</f>
        <v>2264000</v>
      </c>
      <c r="Q113" s="76" t="s">
        <v>23</v>
      </c>
      <c r="T113" s="2"/>
    </row>
    <row r="114" spans="1:20" ht="15.95" customHeight="1" thickBot="1">
      <c r="A114" s="153"/>
      <c r="B114" s="189"/>
      <c r="C114" s="536"/>
      <c r="D114" s="538"/>
      <c r="E114" s="540"/>
      <c r="F114" s="543"/>
      <c r="G114" s="545">
        <f>+E114-D114</f>
        <v>0</v>
      </c>
      <c r="H114" s="548" t="e">
        <f t="shared" si="5"/>
        <v>#DIV/0!</v>
      </c>
      <c r="I114" s="190" t="s">
        <v>163</v>
      </c>
      <c r="J114" s="191">
        <v>100000</v>
      </c>
      <c r="K114" s="192" t="s">
        <v>23</v>
      </c>
      <c r="L114" s="193" t="s">
        <v>32</v>
      </c>
      <c r="M114" s="192">
        <v>1</v>
      </c>
      <c r="N114" s="192" t="s">
        <v>82</v>
      </c>
      <c r="O114" s="194" t="s">
        <v>34</v>
      </c>
      <c r="P114" s="191">
        <f>SUM(J114*M114)</f>
        <v>100000</v>
      </c>
      <c r="Q114" s="195" t="s">
        <v>23</v>
      </c>
      <c r="T114" s="2"/>
    </row>
    <row r="115" spans="1:20">
      <c r="T115" s="2"/>
    </row>
    <row r="116" spans="1:20">
      <c r="T116" s="2"/>
    </row>
    <row r="117" spans="1:20">
      <c r="T117" s="2"/>
    </row>
    <row r="118" spans="1:20">
      <c r="T118" s="2"/>
    </row>
    <row r="119" spans="1:20">
      <c r="T119" s="2"/>
    </row>
    <row r="120" spans="1:20">
      <c r="T120" s="2"/>
    </row>
    <row r="121" spans="1:20">
      <c r="T121" s="2"/>
    </row>
    <row r="122" spans="1:20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S122" s="1"/>
      <c r="T122" s="2"/>
    </row>
  </sheetData>
  <mergeCells count="152">
    <mergeCell ref="A1:Q1"/>
    <mergeCell ref="O3:Q3"/>
    <mergeCell ref="A4:A5"/>
    <mergeCell ref="B4:B5"/>
    <mergeCell ref="C4:C5"/>
    <mergeCell ref="D4:D5"/>
    <mergeCell ref="E4:E5"/>
    <mergeCell ref="F4:F5"/>
    <mergeCell ref="G4:H4"/>
    <mergeCell ref="I4:Q5"/>
    <mergeCell ref="H9:H13"/>
    <mergeCell ref="M9:O9"/>
    <mergeCell ref="C14:C15"/>
    <mergeCell ref="D14:D15"/>
    <mergeCell ref="E14:E15"/>
    <mergeCell ref="G14:G15"/>
    <mergeCell ref="H14:H15"/>
    <mergeCell ref="M14:O14"/>
    <mergeCell ref="A6:C6"/>
    <mergeCell ref="B7:C7"/>
    <mergeCell ref="C9:C13"/>
    <mergeCell ref="D9:D13"/>
    <mergeCell ref="E9:E13"/>
    <mergeCell ref="G9:G13"/>
    <mergeCell ref="M16:O16"/>
    <mergeCell ref="C20:C21"/>
    <mergeCell ref="D20:D21"/>
    <mergeCell ref="E20:E21"/>
    <mergeCell ref="G20:G21"/>
    <mergeCell ref="H20:H21"/>
    <mergeCell ref="M20:O20"/>
    <mergeCell ref="C16:C19"/>
    <mergeCell ref="D16:D19"/>
    <mergeCell ref="E16:E19"/>
    <mergeCell ref="F16:F19"/>
    <mergeCell ref="G16:G19"/>
    <mergeCell ref="H16:H19"/>
    <mergeCell ref="M25:O25"/>
    <mergeCell ref="C39:C43"/>
    <mergeCell ref="I39:J39"/>
    <mergeCell ref="M39:O39"/>
    <mergeCell ref="B22:C22"/>
    <mergeCell ref="C24:C37"/>
    <mergeCell ref="D24:D37"/>
    <mergeCell ref="E24:E37"/>
    <mergeCell ref="F24:F43"/>
    <mergeCell ref="G24:G37"/>
    <mergeCell ref="B44:C44"/>
    <mergeCell ref="B47:C47"/>
    <mergeCell ref="C49:C50"/>
    <mergeCell ref="D49:D50"/>
    <mergeCell ref="E49:E50"/>
    <mergeCell ref="F49:F50"/>
    <mergeCell ref="H24:H37"/>
    <mergeCell ref="I24:J24"/>
    <mergeCell ref="I25:J25"/>
    <mergeCell ref="G49:G50"/>
    <mergeCell ref="H49:H50"/>
    <mergeCell ref="B51:C51"/>
    <mergeCell ref="C53:C54"/>
    <mergeCell ref="D53:D54"/>
    <mergeCell ref="E53:E54"/>
    <mergeCell ref="F53:F54"/>
    <mergeCell ref="G53:G54"/>
    <mergeCell ref="H53:H54"/>
    <mergeCell ref="M55:O55"/>
    <mergeCell ref="C57:C61"/>
    <mergeCell ref="D57:D61"/>
    <mergeCell ref="E57:E61"/>
    <mergeCell ref="F57:F58"/>
    <mergeCell ref="G57:G61"/>
    <mergeCell ref="H57:H61"/>
    <mergeCell ref="M57:O57"/>
    <mergeCell ref="C55:C56"/>
    <mergeCell ref="D55:D56"/>
    <mergeCell ref="E55:E56"/>
    <mergeCell ref="F55:F56"/>
    <mergeCell ref="G55:G56"/>
    <mergeCell ref="H55:H56"/>
    <mergeCell ref="C71:C72"/>
    <mergeCell ref="D71:D72"/>
    <mergeCell ref="E71:E72"/>
    <mergeCell ref="G71:G72"/>
    <mergeCell ref="H71:H72"/>
    <mergeCell ref="M71:O71"/>
    <mergeCell ref="M62:O62"/>
    <mergeCell ref="R64:U64"/>
    <mergeCell ref="C66:C69"/>
    <mergeCell ref="D66:D69"/>
    <mergeCell ref="E66:E69"/>
    <mergeCell ref="G66:G69"/>
    <mergeCell ref="H66:H69"/>
    <mergeCell ref="M66:O66"/>
    <mergeCell ref="C62:C65"/>
    <mergeCell ref="D62:D65"/>
    <mergeCell ref="E62:E65"/>
    <mergeCell ref="F62:F63"/>
    <mergeCell ref="G62:G65"/>
    <mergeCell ref="H62:H65"/>
    <mergeCell ref="B86:C86"/>
    <mergeCell ref="C88:C90"/>
    <mergeCell ref="D88:D90"/>
    <mergeCell ref="E88:E90"/>
    <mergeCell ref="F88:F90"/>
    <mergeCell ref="G88:G90"/>
    <mergeCell ref="M73:O73"/>
    <mergeCell ref="C76:C85"/>
    <mergeCell ref="D76:D85"/>
    <mergeCell ref="E76:E85"/>
    <mergeCell ref="F76:F85"/>
    <mergeCell ref="G76:G85"/>
    <mergeCell ref="H76:H85"/>
    <mergeCell ref="C73:C75"/>
    <mergeCell ref="D73:D75"/>
    <mergeCell ref="E73:E75"/>
    <mergeCell ref="F73:F75"/>
    <mergeCell ref="G73:G75"/>
    <mergeCell ref="H73:H75"/>
    <mergeCell ref="H88:H90"/>
    <mergeCell ref="M88:O88"/>
    <mergeCell ref="C91:C93"/>
    <mergeCell ref="D91:D93"/>
    <mergeCell ref="E91:E93"/>
    <mergeCell ref="F91:F93"/>
    <mergeCell ref="G91:G93"/>
    <mergeCell ref="H91:H93"/>
    <mergeCell ref="M91:O91"/>
    <mergeCell ref="M94:O94"/>
    <mergeCell ref="C97:C100"/>
    <mergeCell ref="D97:D100"/>
    <mergeCell ref="E97:E100"/>
    <mergeCell ref="F97:F100"/>
    <mergeCell ref="G97:G100"/>
    <mergeCell ref="H97:H100"/>
    <mergeCell ref="M97:O97"/>
    <mergeCell ref="C94:C96"/>
    <mergeCell ref="D94:D96"/>
    <mergeCell ref="E94:E96"/>
    <mergeCell ref="F94:F96"/>
    <mergeCell ref="G94:G96"/>
    <mergeCell ref="H94:H96"/>
    <mergeCell ref="M110:O110"/>
    <mergeCell ref="B101:C101"/>
    <mergeCell ref="N102:O102"/>
    <mergeCell ref="B106:C106"/>
    <mergeCell ref="N107:O107"/>
    <mergeCell ref="C110:C114"/>
    <mergeCell ref="D110:D114"/>
    <mergeCell ref="E110:E114"/>
    <mergeCell ref="F110:F114"/>
    <mergeCell ref="G110:G114"/>
    <mergeCell ref="H110:H114"/>
  </mergeCells>
  <phoneticPr fontId="1" type="noConversion"/>
  <pageMargins left="0.19685039370078741" right="0.19685039370078741" top="0.43307086614173229" bottom="0.39370078740157483" header="0.31496062992125984" footer="0.19685039370078741"/>
  <pageSetup paperSize="9" scale="82" orientation="landscape" useFirstPageNumber="1" r:id="rId1"/>
  <headerFooter>
    <oddFooter>&amp;C&amp;P</oddFooter>
  </headerFooter>
  <rowBreaks count="3" manualBreakCount="3">
    <brk id="38" max="16383" man="1"/>
    <brk id="69" max="16383" man="1"/>
    <brk id="10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I403"/>
  <sheetViews>
    <sheetView zoomScaleNormal="100" zoomScaleSheetLayoutView="75" workbookViewId="0">
      <pane ySplit="3" topLeftCell="A40" activePane="bottomLeft" state="frozen"/>
      <selection pane="bottomLeft" sqref="A1:XFD1048576"/>
    </sheetView>
  </sheetViews>
  <sheetFormatPr defaultRowHeight="17.25"/>
  <cols>
    <col min="1" max="1" width="9.625" style="196" customWidth="1"/>
    <col min="2" max="2" width="10.125" style="150" customWidth="1"/>
    <col min="3" max="3" width="13.625" style="150" customWidth="1"/>
    <col min="4" max="4" width="13.875" style="197" customWidth="1"/>
    <col min="5" max="5" width="14.625" style="196" customWidth="1"/>
    <col min="6" max="6" width="13.125" style="196" hidden="1" customWidth="1"/>
    <col min="7" max="7" width="13.375" style="454" customWidth="1"/>
    <col min="8" max="8" width="11" style="455" customWidth="1"/>
    <col min="9" max="9" width="27.75" style="456" customWidth="1"/>
    <col min="10" max="10" width="12" style="29" customWidth="1"/>
    <col min="11" max="11" width="3.625" style="28" customWidth="1"/>
    <col min="12" max="12" width="3.875" style="452" customWidth="1"/>
    <col min="13" max="13" width="7" style="452" customWidth="1"/>
    <col min="14" max="15" width="3.625" style="452" customWidth="1"/>
    <col min="16" max="16" width="15.375" style="29" customWidth="1"/>
    <col min="17" max="17" width="3.625" style="28" customWidth="1"/>
    <col min="18" max="18" width="14.25" style="2" bestFit="1" customWidth="1"/>
    <col min="19" max="30" width="12.5" style="1" hidden="1" customWidth="1"/>
    <col min="31" max="31" width="13.625" style="2" bestFit="1" customWidth="1"/>
    <col min="32" max="32" width="13.125" style="206" customWidth="1"/>
    <col min="33" max="33" width="15.125" style="206" customWidth="1"/>
    <col min="34" max="34" width="12.625" style="206" customWidth="1"/>
    <col min="35" max="35" width="12.625" style="1" customWidth="1"/>
    <col min="36" max="16384" width="9" style="1"/>
  </cols>
  <sheetData>
    <row r="1" spans="1:34" ht="19.5" thickBot="1">
      <c r="A1" s="734" t="s">
        <v>164</v>
      </c>
      <c r="B1" s="734"/>
      <c r="C1" s="4"/>
      <c r="D1" s="202"/>
      <c r="E1" s="203"/>
      <c r="F1" s="203"/>
      <c r="G1" s="204"/>
      <c r="H1" s="205"/>
      <c r="I1" s="4" t="s">
        <v>2</v>
      </c>
      <c r="J1" s="203"/>
      <c r="K1" s="4"/>
      <c r="L1" s="4"/>
      <c r="M1" s="4"/>
      <c r="N1" s="4"/>
      <c r="O1" s="591" t="s">
        <v>3</v>
      </c>
      <c r="P1" s="591"/>
      <c r="Q1" s="591"/>
    </row>
    <row r="2" spans="1:34" ht="17.25" customHeight="1">
      <c r="A2" s="592" t="s">
        <v>4</v>
      </c>
      <c r="B2" s="604" t="s">
        <v>5</v>
      </c>
      <c r="C2" s="735" t="s">
        <v>6</v>
      </c>
      <c r="D2" s="598" t="s">
        <v>7</v>
      </c>
      <c r="E2" s="598" t="s">
        <v>8</v>
      </c>
      <c r="F2" s="737" t="s">
        <v>9</v>
      </c>
      <c r="G2" s="739" t="s">
        <v>10</v>
      </c>
      <c r="H2" s="739"/>
      <c r="I2" s="735" t="s">
        <v>621</v>
      </c>
      <c r="J2" s="735"/>
      <c r="K2" s="735"/>
      <c r="L2" s="735"/>
      <c r="M2" s="735"/>
      <c r="N2" s="735"/>
      <c r="O2" s="735"/>
      <c r="P2" s="735"/>
      <c r="Q2" s="735"/>
    </row>
    <row r="3" spans="1:34" ht="20.25" customHeight="1" thickBot="1">
      <c r="A3" s="593"/>
      <c r="B3" s="606"/>
      <c r="C3" s="736"/>
      <c r="D3" s="599"/>
      <c r="E3" s="599"/>
      <c r="F3" s="738"/>
      <c r="G3" s="207" t="s">
        <v>11</v>
      </c>
      <c r="H3" s="207" t="s">
        <v>165</v>
      </c>
      <c r="I3" s="736"/>
      <c r="J3" s="736"/>
      <c r="K3" s="736"/>
      <c r="L3" s="736"/>
      <c r="M3" s="736"/>
      <c r="N3" s="736"/>
      <c r="O3" s="736"/>
      <c r="P3" s="736"/>
      <c r="Q3" s="736"/>
    </row>
    <row r="4" spans="1:34" ht="24.95" customHeight="1" thickBot="1">
      <c r="A4" s="587" t="s">
        <v>166</v>
      </c>
      <c r="B4" s="588"/>
      <c r="C4" s="589"/>
      <c r="D4" s="10">
        <f>SUM(D5,D76,D84,D306,D301,D384,D297)</f>
        <v>7455912</v>
      </c>
      <c r="E4" s="10">
        <f>SUM(E5,E76,E84,E306,E301,E384,E297)</f>
        <v>7681571.6149999993</v>
      </c>
      <c r="F4" s="208" t="e">
        <f>SUM(F5,F76,F84,F306,F301,F384)</f>
        <v>#REF!</v>
      </c>
      <c r="G4" s="209">
        <f>+E4-D4</f>
        <v>225659.61499999929</v>
      </c>
      <c r="H4" s="210">
        <f t="shared" ref="H4:H35" si="0">+G4/D4*100</f>
        <v>3.0265863518775342</v>
      </c>
      <c r="I4" s="211"/>
      <c r="J4" s="14"/>
      <c r="K4" s="15"/>
      <c r="L4" s="15"/>
      <c r="M4" s="14"/>
      <c r="N4" s="14"/>
      <c r="O4" s="212"/>
      <c r="P4" s="213">
        <f>SUM(P5,P76,P84,P306,P301,P384,P297)</f>
        <v>7681571615</v>
      </c>
      <c r="Q4" s="214" t="s">
        <v>14</v>
      </c>
    </row>
    <row r="5" spans="1:34" ht="20.100000000000001" customHeight="1" thickTop="1" thickBot="1">
      <c r="A5" s="215" t="s">
        <v>167</v>
      </c>
      <c r="B5" s="732" t="s">
        <v>16</v>
      </c>
      <c r="C5" s="733"/>
      <c r="D5" s="216">
        <f>SUM(D6,D34,D46)+1</f>
        <v>1469273</v>
      </c>
      <c r="E5" s="217">
        <f>SUM(E6,E34,E46)</f>
        <v>1469087.02</v>
      </c>
      <c r="F5" s="218">
        <f>SUM(F6,F34,F46)</f>
        <v>869305</v>
      </c>
      <c r="G5" s="219">
        <f>+E5-D5</f>
        <v>-185.97999999998137</v>
      </c>
      <c r="H5" s="220">
        <f t="shared" si="0"/>
        <v>-1.2657960773796386E-2</v>
      </c>
      <c r="I5" s="221"/>
      <c r="J5" s="222"/>
      <c r="K5" s="223"/>
      <c r="L5" s="224"/>
      <c r="M5" s="224"/>
      <c r="N5" s="224"/>
      <c r="O5" s="224"/>
      <c r="P5" s="225">
        <f>SUM(P6,P34,P46)</f>
        <v>1469087020</v>
      </c>
      <c r="Q5" s="226" t="s">
        <v>14</v>
      </c>
    </row>
    <row r="6" spans="1:34" ht="20.100000000000001" customHeight="1" thickTop="1" thickBot="1">
      <c r="A6" s="227"/>
      <c r="B6" s="458" t="s">
        <v>168</v>
      </c>
      <c r="C6" s="228" t="s">
        <v>19</v>
      </c>
      <c r="D6" s="229">
        <f>SUM(D7:D32)</f>
        <v>943512</v>
      </c>
      <c r="E6" s="230">
        <f>SUM(E7:E32)</f>
        <v>940312.4</v>
      </c>
      <c r="F6" s="231">
        <f>SUM(F7:F32)-1</f>
        <v>582084</v>
      </c>
      <c r="G6" s="232">
        <f>+E6-D6</f>
        <v>-3199.5999999999767</v>
      </c>
      <c r="H6" s="233">
        <f t="shared" si="0"/>
        <v>-0.33911598368647955</v>
      </c>
      <c r="I6" s="234"/>
      <c r="J6" s="51"/>
      <c r="K6" s="67"/>
      <c r="L6" s="478"/>
      <c r="M6" s="478"/>
      <c r="N6" s="478"/>
      <c r="O6" s="478"/>
      <c r="P6" s="51">
        <f>SUM(P7,P11,P19,P21,P27)</f>
        <v>940312400</v>
      </c>
      <c r="Q6" s="98" t="s">
        <v>14</v>
      </c>
      <c r="S6" s="235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4" ht="15.95" customHeight="1" thickTop="1" thickBot="1">
      <c r="A7" s="227"/>
      <c r="B7" s="43"/>
      <c r="C7" s="534" t="s">
        <v>169</v>
      </c>
      <c r="D7" s="616">
        <v>644411</v>
      </c>
      <c r="E7" s="607">
        <f>P7/1000</f>
        <v>644411.4</v>
      </c>
      <c r="F7" s="489">
        <v>351377</v>
      </c>
      <c r="G7" s="607">
        <f>E7-D7</f>
        <v>0.40000000002328306</v>
      </c>
      <c r="H7" s="610">
        <f t="shared" si="0"/>
        <v>6.2072186853309936E-5</v>
      </c>
      <c r="I7" s="41"/>
      <c r="J7" s="42"/>
      <c r="K7" s="69"/>
      <c r="L7" s="457"/>
      <c r="M7" s="457" t="s">
        <v>22</v>
      </c>
      <c r="N7" s="457"/>
      <c r="O7" s="457"/>
      <c r="P7" s="42">
        <f>SUM(P8:P10)</f>
        <v>644411400</v>
      </c>
      <c r="Q7" s="38" t="s">
        <v>23</v>
      </c>
      <c r="S7" s="2"/>
      <c r="T7" s="236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4" ht="15.95" customHeight="1">
      <c r="A8" s="227"/>
      <c r="B8" s="43"/>
      <c r="C8" s="535"/>
      <c r="D8" s="631"/>
      <c r="E8" s="608"/>
      <c r="F8" s="490"/>
      <c r="G8" s="608"/>
      <c r="H8" s="611"/>
      <c r="I8" s="45" t="s">
        <v>170</v>
      </c>
      <c r="J8" s="51">
        <v>35125000</v>
      </c>
      <c r="K8" s="67" t="s">
        <v>23</v>
      </c>
      <c r="L8" s="47" t="s">
        <v>32</v>
      </c>
      <c r="M8" s="478">
        <v>12</v>
      </c>
      <c r="N8" s="478" t="s">
        <v>87</v>
      </c>
      <c r="O8" s="52" t="s">
        <v>34</v>
      </c>
      <c r="P8" s="51">
        <f>J8*M8</f>
        <v>421500000</v>
      </c>
      <c r="Q8" s="49" t="s">
        <v>23</v>
      </c>
      <c r="S8" s="2"/>
      <c r="T8" s="237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4" ht="15.95" customHeight="1">
      <c r="A9" s="227"/>
      <c r="B9" s="43"/>
      <c r="C9" s="535"/>
      <c r="D9" s="631"/>
      <c r="E9" s="608"/>
      <c r="F9" s="490"/>
      <c r="G9" s="608"/>
      <c r="H9" s="611"/>
      <c r="I9" s="45" t="s">
        <v>171</v>
      </c>
      <c r="J9" s="51">
        <v>34220000</v>
      </c>
      <c r="K9" s="67" t="s">
        <v>23</v>
      </c>
      <c r="L9" s="47" t="s">
        <v>25</v>
      </c>
      <c r="M9" s="478">
        <v>4.5</v>
      </c>
      <c r="N9" s="478" t="s">
        <v>33</v>
      </c>
      <c r="O9" s="52" t="s">
        <v>34</v>
      </c>
      <c r="P9" s="51">
        <f>(J9*M9)</f>
        <v>153990000</v>
      </c>
      <c r="Q9" s="49" t="s">
        <v>23</v>
      </c>
      <c r="S9" s="2"/>
      <c r="T9" s="237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4" ht="15.95" customHeight="1">
      <c r="A10" s="227"/>
      <c r="B10" s="43"/>
      <c r="C10" s="535"/>
      <c r="D10" s="632"/>
      <c r="E10" s="609"/>
      <c r="F10" s="492"/>
      <c r="G10" s="608"/>
      <c r="H10" s="611"/>
      <c r="I10" s="45" t="s">
        <v>172</v>
      </c>
      <c r="J10" s="51">
        <v>34460700</v>
      </c>
      <c r="K10" s="67" t="s">
        <v>74</v>
      </c>
      <c r="L10" s="47" t="s">
        <v>32</v>
      </c>
      <c r="M10" s="478">
        <v>2</v>
      </c>
      <c r="N10" s="478" t="s">
        <v>42</v>
      </c>
      <c r="O10" s="52" t="s">
        <v>73</v>
      </c>
      <c r="P10" s="51">
        <f>J10*M10</f>
        <v>68921400</v>
      </c>
      <c r="Q10" s="49" t="s">
        <v>74</v>
      </c>
      <c r="S10" s="2"/>
      <c r="T10" s="237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4" s="28" customFormat="1" ht="15.95" customHeight="1">
      <c r="A11" s="39"/>
      <c r="B11" s="43"/>
      <c r="C11" s="549" t="s">
        <v>173</v>
      </c>
      <c r="D11" s="616">
        <v>121876</v>
      </c>
      <c r="E11" s="552">
        <f>+P11/1000</f>
        <v>121876</v>
      </c>
      <c r="F11" s="635">
        <v>102644</v>
      </c>
      <c r="G11" s="607">
        <f t="shared" ref="G11:G65" si="1">+E11-D11</f>
        <v>0</v>
      </c>
      <c r="H11" s="610">
        <f t="shared" si="0"/>
        <v>0</v>
      </c>
      <c r="I11" s="41"/>
      <c r="J11" s="42"/>
      <c r="K11" s="69"/>
      <c r="L11" s="457"/>
      <c r="M11" s="528" t="s">
        <v>22</v>
      </c>
      <c r="N11" s="528"/>
      <c r="O11" s="528"/>
      <c r="P11" s="42">
        <f>SUM(P12:P18)</f>
        <v>121876000</v>
      </c>
      <c r="Q11" s="38" t="s">
        <v>23</v>
      </c>
      <c r="R11" s="29"/>
      <c r="AE11" s="2"/>
      <c r="AF11" s="206"/>
      <c r="AG11" s="206"/>
      <c r="AH11" s="206"/>
    </row>
    <row r="12" spans="1:34" s="28" customFormat="1" ht="15.95" customHeight="1">
      <c r="A12" s="39"/>
      <c r="B12" s="43"/>
      <c r="C12" s="550"/>
      <c r="D12" s="631"/>
      <c r="E12" s="537"/>
      <c r="F12" s="636"/>
      <c r="G12" s="608"/>
      <c r="H12" s="611"/>
      <c r="I12" s="45" t="s">
        <v>174</v>
      </c>
      <c r="J12" s="51">
        <v>3442000</v>
      </c>
      <c r="K12" s="67" t="s">
        <v>23</v>
      </c>
      <c r="L12" s="47" t="s">
        <v>32</v>
      </c>
      <c r="M12" s="478">
        <v>12</v>
      </c>
      <c r="N12" s="478" t="s">
        <v>87</v>
      </c>
      <c r="O12" s="52" t="s">
        <v>34</v>
      </c>
      <c r="P12" s="51">
        <f t="shared" ref="P12:P18" si="2">J12*M12</f>
        <v>41304000</v>
      </c>
      <c r="Q12" s="49" t="s">
        <v>23</v>
      </c>
      <c r="R12" s="29"/>
      <c r="AE12" s="2"/>
      <c r="AF12" s="206"/>
      <c r="AG12" s="206"/>
      <c r="AH12" s="206"/>
    </row>
    <row r="13" spans="1:34" s="28" customFormat="1" ht="15.95" customHeight="1">
      <c r="A13" s="39"/>
      <c r="B13" s="43"/>
      <c r="C13" s="550"/>
      <c r="D13" s="631"/>
      <c r="E13" s="537"/>
      <c r="F13" s="636"/>
      <c r="G13" s="608"/>
      <c r="H13" s="611"/>
      <c r="I13" s="45" t="s">
        <v>175</v>
      </c>
      <c r="J13" s="51">
        <v>870000</v>
      </c>
      <c r="K13" s="67" t="s">
        <v>23</v>
      </c>
      <c r="L13" s="47" t="s">
        <v>32</v>
      </c>
      <c r="M13" s="478">
        <v>12</v>
      </c>
      <c r="N13" s="478" t="s">
        <v>87</v>
      </c>
      <c r="O13" s="52" t="s">
        <v>34</v>
      </c>
      <c r="P13" s="51">
        <f t="shared" si="2"/>
        <v>10440000</v>
      </c>
      <c r="Q13" s="49" t="s">
        <v>23</v>
      </c>
      <c r="R13" s="29"/>
      <c r="AE13" s="2"/>
      <c r="AF13" s="206"/>
      <c r="AG13" s="206"/>
      <c r="AH13" s="206"/>
    </row>
    <row r="14" spans="1:34" s="28" customFormat="1" ht="15.95" customHeight="1">
      <c r="A14" s="39"/>
      <c r="B14" s="43"/>
      <c r="C14" s="550"/>
      <c r="D14" s="631"/>
      <c r="E14" s="537"/>
      <c r="F14" s="636"/>
      <c r="G14" s="608"/>
      <c r="H14" s="611"/>
      <c r="I14" s="45" t="s">
        <v>176</v>
      </c>
      <c r="J14" s="51">
        <v>1856000</v>
      </c>
      <c r="K14" s="67" t="s">
        <v>23</v>
      </c>
      <c r="L14" s="47" t="s">
        <v>32</v>
      </c>
      <c r="M14" s="478">
        <v>12</v>
      </c>
      <c r="N14" s="478" t="s">
        <v>87</v>
      </c>
      <c r="O14" s="52" t="s">
        <v>34</v>
      </c>
      <c r="P14" s="51">
        <f t="shared" si="2"/>
        <v>22272000</v>
      </c>
      <c r="Q14" s="49" t="s">
        <v>23</v>
      </c>
      <c r="R14" s="29"/>
      <c r="AE14" s="2"/>
      <c r="AF14" s="206"/>
      <c r="AG14" s="206"/>
      <c r="AH14" s="206"/>
    </row>
    <row r="15" spans="1:34" s="28" customFormat="1" ht="15.95" customHeight="1">
      <c r="A15" s="39"/>
      <c r="B15" s="43"/>
      <c r="C15" s="550"/>
      <c r="D15" s="631"/>
      <c r="E15" s="537"/>
      <c r="F15" s="636"/>
      <c r="G15" s="608"/>
      <c r="H15" s="611"/>
      <c r="I15" s="45" t="s">
        <v>177</v>
      </c>
      <c r="J15" s="51">
        <v>1405000</v>
      </c>
      <c r="K15" s="67" t="s">
        <v>23</v>
      </c>
      <c r="L15" s="47" t="s">
        <v>32</v>
      </c>
      <c r="M15" s="478">
        <v>12</v>
      </c>
      <c r="N15" s="478" t="s">
        <v>87</v>
      </c>
      <c r="O15" s="52" t="s">
        <v>34</v>
      </c>
      <c r="P15" s="51">
        <f t="shared" si="2"/>
        <v>16860000</v>
      </c>
      <c r="Q15" s="49" t="s">
        <v>23</v>
      </c>
      <c r="R15" s="29"/>
      <c r="AE15" s="2"/>
      <c r="AF15" s="206"/>
      <c r="AG15" s="206"/>
      <c r="AH15" s="206"/>
    </row>
    <row r="16" spans="1:34" s="28" customFormat="1" ht="15.95" customHeight="1">
      <c r="A16" s="39"/>
      <c r="B16" s="43"/>
      <c r="C16" s="550"/>
      <c r="D16" s="631"/>
      <c r="E16" s="537"/>
      <c r="F16" s="636"/>
      <c r="G16" s="608"/>
      <c r="H16" s="611"/>
      <c r="I16" s="45" t="s">
        <v>178</v>
      </c>
      <c r="J16" s="51">
        <v>1800000</v>
      </c>
      <c r="K16" s="67" t="s">
        <v>23</v>
      </c>
      <c r="L16" s="47" t="s">
        <v>32</v>
      </c>
      <c r="M16" s="478">
        <v>12</v>
      </c>
      <c r="N16" s="478" t="s">
        <v>87</v>
      </c>
      <c r="O16" s="52" t="s">
        <v>34</v>
      </c>
      <c r="P16" s="51">
        <f t="shared" si="2"/>
        <v>21600000</v>
      </c>
      <c r="Q16" s="49" t="s">
        <v>23</v>
      </c>
      <c r="R16" s="29"/>
      <c r="AE16" s="2"/>
      <c r="AF16" s="206"/>
      <c r="AG16" s="206"/>
      <c r="AH16" s="206"/>
    </row>
    <row r="17" spans="1:34" s="28" customFormat="1" ht="15.95" customHeight="1">
      <c r="A17" s="39"/>
      <c r="B17" s="43"/>
      <c r="C17" s="550"/>
      <c r="D17" s="631"/>
      <c r="E17" s="537"/>
      <c r="F17" s="636"/>
      <c r="G17" s="608"/>
      <c r="H17" s="611"/>
      <c r="I17" s="45" t="s">
        <v>179</v>
      </c>
      <c r="J17" s="51">
        <v>150000</v>
      </c>
      <c r="K17" s="67" t="s">
        <v>23</v>
      </c>
      <c r="L17" s="47" t="s">
        <v>32</v>
      </c>
      <c r="M17" s="478">
        <v>12</v>
      </c>
      <c r="N17" s="478" t="s">
        <v>87</v>
      </c>
      <c r="O17" s="52" t="s">
        <v>34</v>
      </c>
      <c r="P17" s="51">
        <f t="shared" si="2"/>
        <v>1800000</v>
      </c>
      <c r="Q17" s="49" t="s">
        <v>23</v>
      </c>
      <c r="R17" s="29"/>
      <c r="AE17" s="2"/>
      <c r="AF17" s="206"/>
      <c r="AG17" s="206"/>
      <c r="AH17" s="206"/>
    </row>
    <row r="18" spans="1:34" s="28" customFormat="1" ht="15.95" customHeight="1">
      <c r="A18" s="39"/>
      <c r="B18" s="43"/>
      <c r="C18" s="551"/>
      <c r="D18" s="632"/>
      <c r="E18" s="565"/>
      <c r="F18" s="490"/>
      <c r="G18" s="609"/>
      <c r="H18" s="612"/>
      <c r="I18" s="238" t="s">
        <v>180</v>
      </c>
      <c r="J18" s="142">
        <v>3800000</v>
      </c>
      <c r="K18" s="67" t="s">
        <v>23</v>
      </c>
      <c r="L18" s="47" t="s">
        <v>32</v>
      </c>
      <c r="M18" s="478">
        <v>2</v>
      </c>
      <c r="N18" s="478" t="s">
        <v>42</v>
      </c>
      <c r="O18" s="52" t="s">
        <v>34</v>
      </c>
      <c r="P18" s="51">
        <f t="shared" si="2"/>
        <v>7600000</v>
      </c>
      <c r="Q18" s="49" t="s">
        <v>23</v>
      </c>
      <c r="R18" s="29"/>
      <c r="AE18" s="2"/>
      <c r="AF18" s="206"/>
      <c r="AG18" s="206"/>
      <c r="AH18" s="206"/>
    </row>
    <row r="19" spans="1:34" s="28" customFormat="1" ht="15.95" customHeight="1">
      <c r="A19" s="39"/>
      <c r="B19" s="43"/>
      <c r="C19" s="549" t="s">
        <v>181</v>
      </c>
      <c r="D19" s="616">
        <v>71170</v>
      </c>
      <c r="E19" s="552">
        <f>+P19/1000</f>
        <v>71170</v>
      </c>
      <c r="F19" s="635">
        <v>48032</v>
      </c>
      <c r="G19" s="607">
        <f t="shared" si="1"/>
        <v>0</v>
      </c>
      <c r="H19" s="610">
        <f t="shared" si="0"/>
        <v>0</v>
      </c>
      <c r="I19" s="239"/>
      <c r="J19" s="42"/>
      <c r="K19" s="69"/>
      <c r="L19" s="69"/>
      <c r="M19" s="528" t="s">
        <v>22</v>
      </c>
      <c r="N19" s="528"/>
      <c r="O19" s="528"/>
      <c r="P19" s="42">
        <f>SUM(P20:P20)</f>
        <v>71170000</v>
      </c>
      <c r="Q19" s="38" t="s">
        <v>23</v>
      </c>
      <c r="R19" s="29"/>
      <c r="AE19" s="2"/>
      <c r="AF19" s="206"/>
      <c r="AG19" s="206"/>
      <c r="AH19" s="206"/>
    </row>
    <row r="20" spans="1:34" s="28" customFormat="1" ht="15.95" customHeight="1">
      <c r="A20" s="39"/>
      <c r="B20" s="43"/>
      <c r="C20" s="551"/>
      <c r="D20" s="632"/>
      <c r="E20" s="565"/>
      <c r="F20" s="647"/>
      <c r="G20" s="609">
        <f t="shared" si="1"/>
        <v>0</v>
      </c>
      <c r="H20" s="612" t="e">
        <f t="shared" si="0"/>
        <v>#DIV/0!</v>
      </c>
      <c r="I20" s="45" t="s">
        <v>181</v>
      </c>
      <c r="J20" s="51">
        <v>854040000</v>
      </c>
      <c r="K20" s="240" t="s">
        <v>23</v>
      </c>
      <c r="L20" s="478" t="s">
        <v>182</v>
      </c>
      <c r="M20" s="478">
        <v>12</v>
      </c>
      <c r="N20" s="478"/>
      <c r="O20" s="52" t="s">
        <v>34</v>
      </c>
      <c r="P20" s="241">
        <f>ROUND(J20/12,-1)</f>
        <v>71170000</v>
      </c>
      <c r="Q20" s="49" t="s">
        <v>23</v>
      </c>
      <c r="R20" s="29"/>
      <c r="AE20" s="2"/>
      <c r="AF20" s="206"/>
      <c r="AG20" s="206"/>
      <c r="AH20" s="206"/>
    </row>
    <row r="21" spans="1:34" s="28" customFormat="1" ht="15.95" customHeight="1">
      <c r="A21" s="39"/>
      <c r="B21" s="43"/>
      <c r="C21" s="727" t="s">
        <v>183</v>
      </c>
      <c r="D21" s="728">
        <v>80775</v>
      </c>
      <c r="E21" s="729">
        <f>+P21/1000</f>
        <v>80775</v>
      </c>
      <c r="F21" s="708">
        <v>55737</v>
      </c>
      <c r="G21" s="730">
        <f t="shared" si="1"/>
        <v>0</v>
      </c>
      <c r="H21" s="731">
        <f t="shared" si="0"/>
        <v>0</v>
      </c>
      <c r="I21" s="239"/>
      <c r="J21" s="42"/>
      <c r="K21" s="69"/>
      <c r="L21" s="457"/>
      <c r="M21" s="528" t="s">
        <v>22</v>
      </c>
      <c r="N21" s="528"/>
      <c r="O21" s="528"/>
      <c r="P21" s="42">
        <f>SUM(P22:P26)</f>
        <v>80775000</v>
      </c>
      <c r="Q21" s="38" t="s">
        <v>23</v>
      </c>
      <c r="R21" s="29"/>
      <c r="AE21" s="2"/>
      <c r="AF21" s="206"/>
      <c r="AG21" s="206"/>
      <c r="AH21" s="206"/>
    </row>
    <row r="22" spans="1:34" s="28" customFormat="1" ht="15.95" customHeight="1">
      <c r="A22" s="39"/>
      <c r="B22" s="43"/>
      <c r="C22" s="727"/>
      <c r="D22" s="728"/>
      <c r="E22" s="729"/>
      <c r="F22" s="708"/>
      <c r="G22" s="730">
        <f t="shared" si="1"/>
        <v>0</v>
      </c>
      <c r="H22" s="731" t="e">
        <f t="shared" si="0"/>
        <v>#DIV/0!</v>
      </c>
      <c r="I22" s="242" t="s">
        <v>184</v>
      </c>
      <c r="J22" s="51">
        <v>797887400</v>
      </c>
      <c r="K22" s="67" t="s">
        <v>23</v>
      </c>
      <c r="L22" s="47" t="s">
        <v>32</v>
      </c>
      <c r="M22" s="243">
        <v>4.4999999999999998E-2</v>
      </c>
      <c r="N22" s="478"/>
      <c r="O22" s="52" t="s">
        <v>34</v>
      </c>
      <c r="P22" s="51">
        <f>ROUNDUP(SUM(J22*M22),-3)</f>
        <v>35905000</v>
      </c>
      <c r="Q22" s="49" t="s">
        <v>23</v>
      </c>
      <c r="R22" s="29"/>
      <c r="AE22" s="29"/>
      <c r="AF22" s="206"/>
      <c r="AG22" s="206"/>
      <c r="AH22" s="206"/>
    </row>
    <row r="23" spans="1:34" s="28" customFormat="1" ht="15.95" customHeight="1">
      <c r="A23" s="39"/>
      <c r="B23" s="43"/>
      <c r="C23" s="727"/>
      <c r="D23" s="728"/>
      <c r="E23" s="729"/>
      <c r="F23" s="708"/>
      <c r="G23" s="730">
        <f t="shared" si="1"/>
        <v>0</v>
      </c>
      <c r="H23" s="731" t="e">
        <f t="shared" si="0"/>
        <v>#DIV/0!</v>
      </c>
      <c r="I23" s="242" t="s">
        <v>185</v>
      </c>
      <c r="J23" s="51">
        <f>+J22</f>
        <v>797887400</v>
      </c>
      <c r="K23" s="67" t="s">
        <v>23</v>
      </c>
      <c r="L23" s="47" t="s">
        <v>32</v>
      </c>
      <c r="M23" s="244">
        <v>3.1199999999999999E-2</v>
      </c>
      <c r="N23" s="478"/>
      <c r="O23" s="478" t="s">
        <v>34</v>
      </c>
      <c r="P23" s="51">
        <f>ROUNDUP(SUM(J23*M23),-3)</f>
        <v>24895000</v>
      </c>
      <c r="Q23" s="49" t="s">
        <v>23</v>
      </c>
      <c r="R23" s="29"/>
      <c r="AE23" s="29"/>
      <c r="AF23" s="206"/>
      <c r="AG23" s="206"/>
      <c r="AH23" s="206"/>
    </row>
    <row r="24" spans="1:34" s="28" customFormat="1" ht="15.95" customHeight="1">
      <c r="A24" s="39"/>
      <c r="B24" s="43"/>
      <c r="C24" s="727"/>
      <c r="D24" s="728"/>
      <c r="E24" s="729"/>
      <c r="F24" s="708"/>
      <c r="G24" s="730">
        <f t="shared" si="1"/>
        <v>0</v>
      </c>
      <c r="H24" s="731" t="e">
        <f t="shared" si="0"/>
        <v>#DIV/0!</v>
      </c>
      <c r="I24" s="242" t="s">
        <v>186</v>
      </c>
      <c r="J24" s="51">
        <f>+P23</f>
        <v>24895000</v>
      </c>
      <c r="K24" s="67" t="s">
        <v>23</v>
      </c>
      <c r="L24" s="47" t="s">
        <v>32</v>
      </c>
      <c r="M24" s="244">
        <v>7.3800000000000004E-2</v>
      </c>
      <c r="N24" s="478"/>
      <c r="O24" s="478" t="s">
        <v>34</v>
      </c>
      <c r="P24" s="51">
        <f>ROUNDUP(SUM(J24*M24),-3)</f>
        <v>1838000</v>
      </c>
      <c r="Q24" s="49" t="s">
        <v>23</v>
      </c>
      <c r="R24" s="29"/>
      <c r="AE24" s="29"/>
      <c r="AF24" s="206"/>
      <c r="AG24" s="206"/>
      <c r="AH24" s="206"/>
    </row>
    <row r="25" spans="1:34" s="28" customFormat="1" ht="15.95" customHeight="1">
      <c r="A25" s="39"/>
      <c r="B25" s="43"/>
      <c r="C25" s="727"/>
      <c r="D25" s="728"/>
      <c r="E25" s="729"/>
      <c r="F25" s="708"/>
      <c r="G25" s="730">
        <f t="shared" si="1"/>
        <v>0</v>
      </c>
      <c r="H25" s="731" t="e">
        <f t="shared" si="0"/>
        <v>#DIV/0!</v>
      </c>
      <c r="I25" s="242" t="s">
        <v>187</v>
      </c>
      <c r="J25" s="51">
        <f>J23</f>
        <v>797887400</v>
      </c>
      <c r="K25" s="67" t="s">
        <v>23</v>
      </c>
      <c r="L25" s="47" t="s">
        <v>32</v>
      </c>
      <c r="M25" s="243">
        <v>1.4999999999999999E-2</v>
      </c>
      <c r="N25" s="478"/>
      <c r="O25" s="478" t="s">
        <v>34</v>
      </c>
      <c r="P25" s="51">
        <f>ROUNDUP(SUM(J25*M25),-3)</f>
        <v>11969000</v>
      </c>
      <c r="Q25" s="49" t="s">
        <v>23</v>
      </c>
      <c r="R25" s="29"/>
      <c r="AE25" s="29"/>
      <c r="AF25" s="206"/>
      <c r="AG25" s="206"/>
      <c r="AH25" s="206"/>
    </row>
    <row r="26" spans="1:34" s="28" customFormat="1" ht="15.95" customHeight="1">
      <c r="A26" s="39"/>
      <c r="B26" s="43"/>
      <c r="C26" s="727"/>
      <c r="D26" s="728"/>
      <c r="E26" s="729"/>
      <c r="F26" s="708"/>
      <c r="G26" s="730">
        <f t="shared" si="1"/>
        <v>0</v>
      </c>
      <c r="H26" s="731" t="e">
        <f t="shared" si="0"/>
        <v>#DIV/0!</v>
      </c>
      <c r="I26" s="238" t="s">
        <v>188</v>
      </c>
      <c r="J26" s="142">
        <f>J25</f>
        <v>797887400</v>
      </c>
      <c r="K26" s="245" t="s">
        <v>23</v>
      </c>
      <c r="L26" s="144" t="s">
        <v>32</v>
      </c>
      <c r="M26" s="246">
        <v>7.7299999999999999E-3</v>
      </c>
      <c r="N26" s="143"/>
      <c r="O26" s="143" t="s">
        <v>34</v>
      </c>
      <c r="P26" s="142">
        <f>ROUNDUP(SUM(J26*M26),-3)</f>
        <v>6168000</v>
      </c>
      <c r="Q26" s="146" t="s">
        <v>23</v>
      </c>
      <c r="R26" s="29"/>
      <c r="AE26" s="29"/>
      <c r="AF26" s="206"/>
      <c r="AG26" s="206"/>
      <c r="AH26" s="206"/>
    </row>
    <row r="27" spans="1:34" s="28" customFormat="1" ht="15.95" customHeight="1">
      <c r="A27" s="39" t="s">
        <v>2</v>
      </c>
      <c r="B27" s="43"/>
      <c r="C27" s="549" t="s">
        <v>189</v>
      </c>
      <c r="D27" s="616">
        <v>25280</v>
      </c>
      <c r="E27" s="552">
        <f>+P27/1000</f>
        <v>22080</v>
      </c>
      <c r="F27" s="708">
        <v>24295</v>
      </c>
      <c r="G27" s="607">
        <f>+E27-D27</f>
        <v>-3200</v>
      </c>
      <c r="H27" s="610">
        <f t="shared" si="0"/>
        <v>-12.658227848101266</v>
      </c>
      <c r="I27" s="239"/>
      <c r="J27" s="42"/>
      <c r="K27" s="69"/>
      <c r="L27" s="457"/>
      <c r="M27" s="457" t="s">
        <v>22</v>
      </c>
      <c r="N27" s="457"/>
      <c r="O27" s="457"/>
      <c r="P27" s="42">
        <f>SUM(P28:P33)</f>
        <v>22080000</v>
      </c>
      <c r="Q27" s="38" t="s">
        <v>23</v>
      </c>
      <c r="R27" s="29"/>
      <c r="AE27" s="29"/>
      <c r="AF27" s="206"/>
      <c r="AG27" s="206"/>
      <c r="AH27" s="206"/>
    </row>
    <row r="28" spans="1:34" s="28" customFormat="1" ht="15.95" customHeight="1">
      <c r="A28" s="39"/>
      <c r="B28" s="43"/>
      <c r="C28" s="550"/>
      <c r="D28" s="631"/>
      <c r="E28" s="537"/>
      <c r="F28" s="708"/>
      <c r="G28" s="608"/>
      <c r="H28" s="611"/>
      <c r="I28" s="242" t="s">
        <v>190</v>
      </c>
      <c r="J28" s="51">
        <v>0</v>
      </c>
      <c r="K28" s="67" t="s">
        <v>74</v>
      </c>
      <c r="L28" s="47" t="s">
        <v>32</v>
      </c>
      <c r="M28" s="478">
        <v>1</v>
      </c>
      <c r="N28" s="478" t="s">
        <v>42</v>
      </c>
      <c r="O28" s="52" t="s">
        <v>73</v>
      </c>
      <c r="P28" s="51">
        <f>SUM(J28*M28)</f>
        <v>0</v>
      </c>
      <c r="Q28" s="49" t="s">
        <v>74</v>
      </c>
      <c r="R28" s="29"/>
      <c r="AE28" s="29"/>
      <c r="AF28" s="206"/>
      <c r="AG28" s="206"/>
      <c r="AH28" s="206"/>
    </row>
    <row r="29" spans="1:34" s="28" customFormat="1" ht="15.95" customHeight="1">
      <c r="A29" s="39"/>
      <c r="B29" s="43"/>
      <c r="C29" s="550"/>
      <c r="D29" s="631"/>
      <c r="E29" s="537"/>
      <c r="F29" s="708"/>
      <c r="G29" s="608"/>
      <c r="H29" s="611"/>
      <c r="I29" s="242" t="s">
        <v>191</v>
      </c>
      <c r="J29" s="51">
        <v>467368</v>
      </c>
      <c r="K29" s="67" t="s">
        <v>74</v>
      </c>
      <c r="L29" s="47" t="s">
        <v>32</v>
      </c>
      <c r="M29" s="478">
        <v>19</v>
      </c>
      <c r="N29" s="478" t="s">
        <v>52</v>
      </c>
      <c r="O29" s="52" t="s">
        <v>73</v>
      </c>
      <c r="P29" s="51">
        <f>SUM(J29*M29)+8</f>
        <v>8880000</v>
      </c>
      <c r="Q29" s="49" t="s">
        <v>74</v>
      </c>
      <c r="R29" s="29"/>
      <c r="AE29" s="29"/>
      <c r="AF29" s="206"/>
      <c r="AG29" s="206"/>
      <c r="AH29" s="206"/>
    </row>
    <row r="30" spans="1:34" s="28" customFormat="1" ht="15.95" customHeight="1">
      <c r="A30" s="39"/>
      <c r="B30" s="43"/>
      <c r="C30" s="550"/>
      <c r="D30" s="631"/>
      <c r="E30" s="537"/>
      <c r="F30" s="708"/>
      <c r="G30" s="608"/>
      <c r="H30" s="611"/>
      <c r="I30" s="242" t="s">
        <v>192</v>
      </c>
      <c r="J30" s="51">
        <v>0</v>
      </c>
      <c r="K30" s="67" t="s">
        <v>74</v>
      </c>
      <c r="L30" s="47" t="s">
        <v>32</v>
      </c>
      <c r="M30" s="478">
        <v>12</v>
      </c>
      <c r="N30" s="478" t="s">
        <v>26</v>
      </c>
      <c r="O30" s="52" t="s">
        <v>73</v>
      </c>
      <c r="P30" s="51">
        <f>+J30*M30</f>
        <v>0</v>
      </c>
      <c r="Q30" s="49" t="s">
        <v>74</v>
      </c>
      <c r="R30" s="29"/>
      <c r="AE30" s="29"/>
      <c r="AF30" s="206"/>
      <c r="AG30" s="206"/>
      <c r="AH30" s="206"/>
    </row>
    <row r="31" spans="1:34" s="28" customFormat="1" ht="15.95" customHeight="1">
      <c r="A31" s="39"/>
      <c r="B31" s="43"/>
      <c r="C31" s="550"/>
      <c r="D31" s="631"/>
      <c r="E31" s="537"/>
      <c r="F31" s="708"/>
      <c r="G31" s="608"/>
      <c r="H31" s="611"/>
      <c r="I31" s="242" t="s">
        <v>193</v>
      </c>
      <c r="J31" s="51">
        <v>3800000</v>
      </c>
      <c r="K31" s="67" t="s">
        <v>74</v>
      </c>
      <c r="L31" s="47" t="s">
        <v>32</v>
      </c>
      <c r="M31" s="478">
        <v>3</v>
      </c>
      <c r="N31" s="478" t="s">
        <v>42</v>
      </c>
      <c r="O31" s="52" t="s">
        <v>73</v>
      </c>
      <c r="P31" s="51">
        <f>+J31*M31</f>
        <v>11400000</v>
      </c>
      <c r="Q31" s="49" t="s">
        <v>74</v>
      </c>
      <c r="R31" s="29"/>
      <c r="AE31" s="29"/>
      <c r="AF31" s="206"/>
      <c r="AG31" s="206"/>
      <c r="AH31" s="206"/>
    </row>
    <row r="32" spans="1:34" s="28" customFormat="1" ht="15.95" customHeight="1" thickBot="1">
      <c r="A32" s="39"/>
      <c r="B32" s="43"/>
      <c r="C32" s="550"/>
      <c r="D32" s="631"/>
      <c r="E32" s="537"/>
      <c r="F32" s="726"/>
      <c r="G32" s="608"/>
      <c r="H32" s="611"/>
      <c r="I32" s="242" t="s">
        <v>194</v>
      </c>
      <c r="J32" s="51">
        <v>1000000</v>
      </c>
      <c r="K32" s="67" t="s">
        <v>74</v>
      </c>
      <c r="L32" s="47" t="s">
        <v>32</v>
      </c>
      <c r="M32" s="478">
        <v>1.5</v>
      </c>
      <c r="N32" s="478" t="s">
        <v>42</v>
      </c>
      <c r="O32" s="52" t="s">
        <v>73</v>
      </c>
      <c r="P32" s="51">
        <f>+J32*M32</f>
        <v>1500000</v>
      </c>
      <c r="Q32" s="49" t="s">
        <v>74</v>
      </c>
      <c r="R32" s="29"/>
      <c r="AE32" s="29"/>
      <c r="AF32" s="206"/>
      <c r="AG32" s="206"/>
      <c r="AH32" s="206"/>
    </row>
    <row r="33" spans="1:34" s="28" customFormat="1" ht="15.95" customHeight="1" thickBot="1">
      <c r="A33" s="39"/>
      <c r="B33" s="43"/>
      <c r="C33" s="725"/>
      <c r="D33" s="617"/>
      <c r="E33" s="538"/>
      <c r="F33" s="490"/>
      <c r="G33" s="618"/>
      <c r="H33" s="619"/>
      <c r="I33" s="413" t="s">
        <v>195</v>
      </c>
      <c r="J33" s="191">
        <v>300000</v>
      </c>
      <c r="K33" s="67" t="s">
        <v>74</v>
      </c>
      <c r="L33" s="47" t="s">
        <v>32</v>
      </c>
      <c r="M33" s="478">
        <v>1</v>
      </c>
      <c r="N33" s="478" t="s">
        <v>42</v>
      </c>
      <c r="O33" s="52" t="s">
        <v>73</v>
      </c>
      <c r="P33" s="51">
        <f>+J33*M33</f>
        <v>300000</v>
      </c>
      <c r="Q33" s="49" t="s">
        <v>74</v>
      </c>
      <c r="R33" s="29"/>
      <c r="AE33" s="29"/>
      <c r="AF33" s="206"/>
      <c r="AG33" s="206"/>
      <c r="AH33" s="206"/>
    </row>
    <row r="34" spans="1:34" s="28" customFormat="1" ht="20.100000000000001" customHeight="1">
      <c r="A34" s="18"/>
      <c r="B34" s="247" t="s">
        <v>196</v>
      </c>
      <c r="C34" s="480" t="s">
        <v>19</v>
      </c>
      <c r="D34" s="248">
        <f>SUM(D35,D38,D41)</f>
        <v>19650</v>
      </c>
      <c r="E34" s="249">
        <f>SUM(E35:E45)</f>
        <v>22050</v>
      </c>
      <c r="F34" s="250">
        <f>SUM(F35,F41)</f>
        <v>12549</v>
      </c>
      <c r="G34" s="251">
        <f t="shared" si="1"/>
        <v>2400</v>
      </c>
      <c r="H34" s="252">
        <f t="shared" si="0"/>
        <v>12.213740458015266</v>
      </c>
      <c r="I34" s="253"/>
      <c r="J34" s="254"/>
      <c r="K34" s="133"/>
      <c r="L34" s="134"/>
      <c r="M34" s="134"/>
      <c r="N34" s="134"/>
      <c r="O34" s="134"/>
      <c r="P34" s="254">
        <f>SUM(P35,P38,P41)</f>
        <v>22050000</v>
      </c>
      <c r="Q34" s="136" t="s">
        <v>14</v>
      </c>
      <c r="R34" s="29"/>
      <c r="AE34" s="29"/>
      <c r="AF34" s="206"/>
      <c r="AG34" s="206"/>
      <c r="AH34" s="206"/>
    </row>
    <row r="35" spans="1:34" s="28" customFormat="1" ht="15.95" customHeight="1">
      <c r="A35" s="39"/>
      <c r="B35" s="487" t="s">
        <v>197</v>
      </c>
      <c r="C35" s="534" t="s">
        <v>198</v>
      </c>
      <c r="D35" s="616">
        <v>3950</v>
      </c>
      <c r="E35" s="552">
        <f>+P35/1000</f>
        <v>5150</v>
      </c>
      <c r="F35" s="635">
        <v>9823</v>
      </c>
      <c r="G35" s="607">
        <f t="shared" si="1"/>
        <v>1200</v>
      </c>
      <c r="H35" s="610">
        <f t="shared" si="0"/>
        <v>30.37974683544304</v>
      </c>
      <c r="I35" s="255"/>
      <c r="J35" s="42"/>
      <c r="K35" s="69"/>
      <c r="L35" s="457"/>
      <c r="M35" s="528" t="s">
        <v>22</v>
      </c>
      <c r="N35" s="528"/>
      <c r="O35" s="528"/>
      <c r="P35" s="42">
        <f>SUM(P36:P37)</f>
        <v>5150000</v>
      </c>
      <c r="Q35" s="38" t="s">
        <v>23</v>
      </c>
      <c r="R35" s="29"/>
      <c r="AE35" s="29"/>
      <c r="AF35" s="206"/>
      <c r="AG35" s="206"/>
      <c r="AH35" s="206"/>
    </row>
    <row r="36" spans="1:34" s="28" customFormat="1" ht="15.95" customHeight="1">
      <c r="A36" s="39"/>
      <c r="B36" s="43"/>
      <c r="C36" s="535"/>
      <c r="D36" s="631"/>
      <c r="E36" s="537"/>
      <c r="F36" s="636"/>
      <c r="G36" s="608">
        <f t="shared" si="1"/>
        <v>0</v>
      </c>
      <c r="H36" s="611" t="e">
        <f>+G36/D36*100</f>
        <v>#DIV/0!</v>
      </c>
      <c r="I36" s="258" t="s">
        <v>199</v>
      </c>
      <c r="J36" s="51">
        <v>400000</v>
      </c>
      <c r="K36" s="67" t="s">
        <v>23</v>
      </c>
      <c r="L36" s="47" t="s">
        <v>32</v>
      </c>
      <c r="M36" s="478">
        <v>12</v>
      </c>
      <c r="N36" s="478" t="s">
        <v>87</v>
      </c>
      <c r="O36" s="52" t="s">
        <v>34</v>
      </c>
      <c r="P36" s="51">
        <f>SUM(J36*M36)</f>
        <v>4800000</v>
      </c>
      <c r="Q36" s="49" t="s">
        <v>23</v>
      </c>
      <c r="R36" s="29"/>
      <c r="AE36" s="29"/>
      <c r="AF36" s="206"/>
      <c r="AG36" s="206"/>
      <c r="AH36" s="206"/>
    </row>
    <row r="37" spans="1:34" s="28" customFormat="1" ht="15.95" customHeight="1">
      <c r="A37" s="39"/>
      <c r="B37" s="43"/>
      <c r="C37" s="661"/>
      <c r="D37" s="632"/>
      <c r="E37" s="565"/>
      <c r="F37" s="647"/>
      <c r="G37" s="609">
        <f t="shared" si="1"/>
        <v>0</v>
      </c>
      <c r="H37" s="612" t="e">
        <f>+G37/D37*100</f>
        <v>#DIV/0!</v>
      </c>
      <c r="I37" s="256" t="s">
        <v>200</v>
      </c>
      <c r="J37" s="142">
        <v>350000</v>
      </c>
      <c r="K37" s="245" t="s">
        <v>23</v>
      </c>
      <c r="L37" s="144" t="s">
        <v>32</v>
      </c>
      <c r="M37" s="143">
        <v>1</v>
      </c>
      <c r="N37" s="143" t="s">
        <v>33</v>
      </c>
      <c r="O37" s="145" t="s">
        <v>34</v>
      </c>
      <c r="P37" s="142">
        <f>SUM(J37*M37)</f>
        <v>350000</v>
      </c>
      <c r="Q37" s="146" t="s">
        <v>23</v>
      </c>
      <c r="R37" s="29"/>
      <c r="AE37" s="29"/>
      <c r="AF37" s="206"/>
      <c r="AG37" s="206"/>
      <c r="AH37" s="206"/>
    </row>
    <row r="38" spans="1:34" s="28" customFormat="1" ht="15.95" customHeight="1">
      <c r="A38" s="18" t="s">
        <v>201</v>
      </c>
      <c r="B38" s="487"/>
      <c r="C38" s="549" t="s">
        <v>202</v>
      </c>
      <c r="D38" s="616">
        <v>1800</v>
      </c>
      <c r="E38" s="552">
        <f>P38/1000</f>
        <v>1800</v>
      </c>
      <c r="F38" s="489"/>
      <c r="G38" s="607">
        <f>E38-D38</f>
        <v>0</v>
      </c>
      <c r="H38" s="640">
        <f>G38/D38*100</f>
        <v>0</v>
      </c>
      <c r="I38" s="257"/>
      <c r="J38" s="42"/>
      <c r="K38" s="69"/>
      <c r="L38" s="457"/>
      <c r="M38" s="528" t="s">
        <v>22</v>
      </c>
      <c r="N38" s="528"/>
      <c r="O38" s="528"/>
      <c r="P38" s="42">
        <f>SUM(P39:P40)</f>
        <v>1800000</v>
      </c>
      <c r="Q38" s="38" t="s">
        <v>23</v>
      </c>
      <c r="R38" s="29"/>
      <c r="AE38" s="29"/>
      <c r="AF38" s="206"/>
      <c r="AG38" s="206"/>
      <c r="AH38" s="206"/>
    </row>
    <row r="39" spans="1:34" s="28" customFormat="1" ht="15.95" customHeight="1">
      <c r="A39" s="39"/>
      <c r="B39" s="487"/>
      <c r="C39" s="550"/>
      <c r="D39" s="631"/>
      <c r="E39" s="537"/>
      <c r="F39" s="490"/>
      <c r="G39" s="608"/>
      <c r="H39" s="662"/>
      <c r="I39" s="258" t="s">
        <v>203</v>
      </c>
      <c r="J39" s="51">
        <v>250000</v>
      </c>
      <c r="K39" s="67" t="s">
        <v>23</v>
      </c>
      <c r="L39" s="47" t="s">
        <v>32</v>
      </c>
      <c r="M39" s="478">
        <v>4</v>
      </c>
      <c r="N39" s="478" t="s">
        <v>33</v>
      </c>
      <c r="O39" s="52" t="s">
        <v>34</v>
      </c>
      <c r="P39" s="51">
        <f>SUM(J39*M39)</f>
        <v>1000000</v>
      </c>
      <c r="Q39" s="49" t="s">
        <v>23</v>
      </c>
      <c r="R39" s="29"/>
      <c r="AE39" s="29"/>
      <c r="AF39" s="206"/>
      <c r="AG39" s="206"/>
      <c r="AH39" s="206"/>
    </row>
    <row r="40" spans="1:34" s="28" customFormat="1" ht="15.95" customHeight="1">
      <c r="A40" s="39"/>
      <c r="B40" s="43"/>
      <c r="C40" s="551"/>
      <c r="D40" s="632"/>
      <c r="E40" s="565"/>
      <c r="F40" s="490"/>
      <c r="G40" s="609"/>
      <c r="H40" s="641"/>
      <c r="I40" s="258" t="s">
        <v>204</v>
      </c>
      <c r="J40" s="51">
        <v>200000</v>
      </c>
      <c r="K40" s="67" t="s">
        <v>23</v>
      </c>
      <c r="L40" s="47" t="s">
        <v>32</v>
      </c>
      <c r="M40" s="478">
        <v>4</v>
      </c>
      <c r="N40" s="478" t="s">
        <v>33</v>
      </c>
      <c r="O40" s="52" t="s">
        <v>34</v>
      </c>
      <c r="P40" s="51">
        <f>SUM(J40*M40)</f>
        <v>800000</v>
      </c>
      <c r="Q40" s="49" t="s">
        <v>23</v>
      </c>
      <c r="R40" s="29"/>
      <c r="AE40" s="29"/>
      <c r="AF40" s="206"/>
      <c r="AG40" s="206"/>
      <c r="AH40" s="206"/>
    </row>
    <row r="41" spans="1:34" s="28" customFormat="1" ht="15.95" customHeight="1">
      <c r="A41" s="39"/>
      <c r="B41" s="43"/>
      <c r="C41" s="534" t="s">
        <v>205</v>
      </c>
      <c r="D41" s="616">
        <v>13900</v>
      </c>
      <c r="E41" s="552">
        <f>+P41/1000</f>
        <v>15100</v>
      </c>
      <c r="F41" s="635">
        <v>2726</v>
      </c>
      <c r="G41" s="607">
        <f t="shared" si="1"/>
        <v>1200</v>
      </c>
      <c r="H41" s="610">
        <f>+G41/D41*100</f>
        <v>8.6330935251798557</v>
      </c>
      <c r="I41" s="255"/>
      <c r="J41" s="42"/>
      <c r="K41" s="69"/>
      <c r="L41" s="457"/>
      <c r="M41" s="528" t="s">
        <v>22</v>
      </c>
      <c r="N41" s="528"/>
      <c r="O41" s="528"/>
      <c r="P41" s="42">
        <f>SUM(P42:P45)</f>
        <v>15100000</v>
      </c>
      <c r="Q41" s="38" t="s">
        <v>23</v>
      </c>
      <c r="R41" s="29"/>
      <c r="AE41" s="29"/>
      <c r="AF41" s="206"/>
      <c r="AG41" s="206"/>
      <c r="AH41" s="206"/>
    </row>
    <row r="42" spans="1:34" s="28" customFormat="1" ht="15.95" customHeight="1">
      <c r="A42" s="39"/>
      <c r="B42" s="43"/>
      <c r="C42" s="535"/>
      <c r="D42" s="631"/>
      <c r="E42" s="537"/>
      <c r="F42" s="636"/>
      <c r="G42" s="608">
        <f t="shared" si="1"/>
        <v>0</v>
      </c>
      <c r="H42" s="611" t="e">
        <f>+G42/D42*100</f>
        <v>#DIV/0!</v>
      </c>
      <c r="I42" s="258" t="s">
        <v>206</v>
      </c>
      <c r="J42" s="51">
        <v>450000</v>
      </c>
      <c r="K42" s="67" t="s">
        <v>23</v>
      </c>
      <c r="L42" s="47" t="s">
        <v>32</v>
      </c>
      <c r="M42" s="478">
        <v>4</v>
      </c>
      <c r="N42" s="478" t="s">
        <v>33</v>
      </c>
      <c r="O42" s="52" t="s">
        <v>34</v>
      </c>
      <c r="P42" s="51">
        <f>SUM(J42*M42)</f>
        <v>1800000</v>
      </c>
      <c r="Q42" s="49" t="s">
        <v>23</v>
      </c>
      <c r="R42" s="29"/>
      <c r="AE42" s="29"/>
      <c r="AF42" s="206"/>
      <c r="AG42" s="206"/>
      <c r="AH42" s="206"/>
    </row>
    <row r="43" spans="1:34" s="28" customFormat="1" ht="15.95" customHeight="1">
      <c r="A43" s="39"/>
      <c r="B43" s="43"/>
      <c r="C43" s="535"/>
      <c r="D43" s="631"/>
      <c r="E43" s="537"/>
      <c r="F43" s="636"/>
      <c r="G43" s="608"/>
      <c r="H43" s="611"/>
      <c r="I43" s="258" t="s">
        <v>207</v>
      </c>
      <c r="J43" s="51">
        <v>1750000</v>
      </c>
      <c r="K43" s="67" t="s">
        <v>23</v>
      </c>
      <c r="L43" s="47" t="s">
        <v>32</v>
      </c>
      <c r="M43" s="478">
        <v>4</v>
      </c>
      <c r="N43" s="478" t="s">
        <v>33</v>
      </c>
      <c r="O43" s="52" t="s">
        <v>34</v>
      </c>
      <c r="P43" s="51">
        <f>SUM(J43*M43)</f>
        <v>7000000</v>
      </c>
      <c r="Q43" s="49" t="s">
        <v>23</v>
      </c>
      <c r="R43" s="29"/>
      <c r="AE43" s="29"/>
      <c r="AF43" s="206"/>
      <c r="AG43" s="206"/>
      <c r="AH43" s="206"/>
    </row>
    <row r="44" spans="1:34" s="28" customFormat="1" ht="15.95" customHeight="1">
      <c r="A44" s="39"/>
      <c r="B44" s="43"/>
      <c r="C44" s="535"/>
      <c r="D44" s="631"/>
      <c r="E44" s="537"/>
      <c r="F44" s="636"/>
      <c r="G44" s="608">
        <f t="shared" si="1"/>
        <v>0</v>
      </c>
      <c r="H44" s="611" t="e">
        <f t="shared" ref="H44:H53" si="3">+G44/D44*100</f>
        <v>#DIV/0!</v>
      </c>
      <c r="I44" s="258" t="s">
        <v>208</v>
      </c>
      <c r="J44" s="51">
        <v>500000</v>
      </c>
      <c r="K44" s="67" t="s">
        <v>23</v>
      </c>
      <c r="L44" s="47" t="s">
        <v>32</v>
      </c>
      <c r="M44" s="478">
        <v>12</v>
      </c>
      <c r="N44" s="478" t="s">
        <v>33</v>
      </c>
      <c r="O44" s="52" t="s">
        <v>34</v>
      </c>
      <c r="P44" s="51">
        <f>SUM(J44*M44)</f>
        <v>6000000</v>
      </c>
      <c r="Q44" s="49" t="s">
        <v>23</v>
      </c>
      <c r="R44" s="29"/>
      <c r="AE44" s="29"/>
      <c r="AF44" s="206"/>
      <c r="AG44" s="206"/>
      <c r="AH44" s="206"/>
    </row>
    <row r="45" spans="1:34" s="28" customFormat="1" ht="15.95" customHeight="1">
      <c r="A45" s="39"/>
      <c r="B45" s="43"/>
      <c r="C45" s="535"/>
      <c r="D45" s="631"/>
      <c r="E45" s="537"/>
      <c r="F45" s="647"/>
      <c r="G45" s="608">
        <f t="shared" si="1"/>
        <v>0</v>
      </c>
      <c r="H45" s="611" t="e">
        <f t="shared" si="3"/>
        <v>#DIV/0!</v>
      </c>
      <c r="I45" s="258" t="s">
        <v>209</v>
      </c>
      <c r="J45" s="51">
        <v>50000</v>
      </c>
      <c r="K45" s="67" t="s">
        <v>23</v>
      </c>
      <c r="L45" s="47" t="s">
        <v>32</v>
      </c>
      <c r="M45" s="478">
        <v>6</v>
      </c>
      <c r="N45" s="478" t="s">
        <v>33</v>
      </c>
      <c r="O45" s="52" t="s">
        <v>34</v>
      </c>
      <c r="P45" s="51">
        <f>SUM(J45*M45)</f>
        <v>300000</v>
      </c>
      <c r="Q45" s="49" t="s">
        <v>23</v>
      </c>
      <c r="R45" s="29"/>
      <c r="AE45" s="29"/>
      <c r="AF45" s="206"/>
      <c r="AG45" s="206"/>
      <c r="AH45" s="206"/>
    </row>
    <row r="46" spans="1:34" s="28" customFormat="1" ht="20.100000000000001" customHeight="1">
      <c r="A46" s="39"/>
      <c r="B46" s="30" t="s">
        <v>210</v>
      </c>
      <c r="C46" s="259" t="s">
        <v>19</v>
      </c>
      <c r="D46" s="260">
        <f>SUM(D47:D59,D60:D75)</f>
        <v>506110</v>
      </c>
      <c r="E46" s="261">
        <f>SUM(E47:E59,E60:E75)</f>
        <v>506724.62</v>
      </c>
      <c r="F46" s="262">
        <f>SUM(F47:F59,F60:F75)</f>
        <v>274672</v>
      </c>
      <c r="G46" s="263">
        <f t="shared" si="1"/>
        <v>614.61999999999534</v>
      </c>
      <c r="H46" s="264">
        <f t="shared" si="3"/>
        <v>0.12144000316136716</v>
      </c>
      <c r="I46" s="255"/>
      <c r="J46" s="42"/>
      <c r="K46" s="69"/>
      <c r="L46" s="69"/>
      <c r="M46" s="69"/>
      <c r="N46" s="69"/>
      <c r="O46" s="69"/>
      <c r="P46" s="37">
        <f>SUM(P47,P49,P56,P60,P65,P73)</f>
        <v>506724620</v>
      </c>
      <c r="Q46" s="38" t="s">
        <v>14</v>
      </c>
      <c r="R46" s="29"/>
      <c r="AE46" s="29"/>
      <c r="AF46" s="206"/>
      <c r="AG46" s="206"/>
      <c r="AH46" s="206"/>
    </row>
    <row r="47" spans="1:34" s="28" customFormat="1" ht="15.95" customHeight="1">
      <c r="A47" s="39"/>
      <c r="B47" s="43"/>
      <c r="C47" s="534" t="s">
        <v>211</v>
      </c>
      <c r="D47" s="616">
        <v>1200</v>
      </c>
      <c r="E47" s="552">
        <f>+P47/1000</f>
        <v>1200</v>
      </c>
      <c r="F47" s="635">
        <v>107</v>
      </c>
      <c r="G47" s="607">
        <f t="shared" si="1"/>
        <v>0</v>
      </c>
      <c r="H47" s="610">
        <f t="shared" si="3"/>
        <v>0</v>
      </c>
      <c r="I47" s="255"/>
      <c r="J47" s="42"/>
      <c r="K47" s="69"/>
      <c r="L47" s="457"/>
      <c r="M47" s="457" t="s">
        <v>22</v>
      </c>
      <c r="N47" s="457"/>
      <c r="O47" s="457"/>
      <c r="P47" s="42">
        <f>SUM(P48)</f>
        <v>1200000</v>
      </c>
      <c r="Q47" s="38" t="s">
        <v>23</v>
      </c>
      <c r="R47" s="29"/>
      <c r="AE47" s="29"/>
      <c r="AF47" s="206"/>
      <c r="AG47" s="206"/>
      <c r="AH47" s="206"/>
    </row>
    <row r="48" spans="1:34" s="28" customFormat="1" ht="15.95" customHeight="1">
      <c r="A48" s="39"/>
      <c r="B48" s="265"/>
      <c r="C48" s="661"/>
      <c r="D48" s="632"/>
      <c r="E48" s="565"/>
      <c r="F48" s="647"/>
      <c r="G48" s="609">
        <f t="shared" si="1"/>
        <v>0</v>
      </c>
      <c r="H48" s="612" t="e">
        <f t="shared" si="3"/>
        <v>#DIV/0!</v>
      </c>
      <c r="I48" s="256" t="s">
        <v>212</v>
      </c>
      <c r="J48" s="142">
        <v>100000</v>
      </c>
      <c r="K48" s="245" t="s">
        <v>23</v>
      </c>
      <c r="L48" s="144" t="s">
        <v>32</v>
      </c>
      <c r="M48" s="143">
        <v>12</v>
      </c>
      <c r="N48" s="143" t="s">
        <v>87</v>
      </c>
      <c r="O48" s="145" t="s">
        <v>34</v>
      </c>
      <c r="P48" s="142">
        <f>SUM(J48*M48)</f>
        <v>1200000</v>
      </c>
      <c r="Q48" s="146" t="s">
        <v>23</v>
      </c>
      <c r="R48" s="29"/>
      <c r="AE48" s="29"/>
      <c r="AF48" s="206"/>
      <c r="AG48" s="206"/>
      <c r="AH48" s="206"/>
    </row>
    <row r="49" spans="1:34" s="28" customFormat="1" ht="15.95" customHeight="1">
      <c r="A49" s="39"/>
      <c r="B49" s="43"/>
      <c r="C49" s="560" t="s">
        <v>213</v>
      </c>
      <c r="D49" s="616">
        <v>327820</v>
      </c>
      <c r="E49" s="552">
        <f>+P49/1000</f>
        <v>329260</v>
      </c>
      <c r="F49" s="635">
        <v>27504</v>
      </c>
      <c r="G49" s="607">
        <f t="shared" si="1"/>
        <v>1440</v>
      </c>
      <c r="H49" s="610">
        <f t="shared" si="3"/>
        <v>0.43926545055213229</v>
      </c>
      <c r="I49" s="255"/>
      <c r="J49" s="42"/>
      <c r="K49" s="69"/>
      <c r="L49" s="69"/>
      <c r="M49" s="528" t="s">
        <v>22</v>
      </c>
      <c r="N49" s="528"/>
      <c r="O49" s="528"/>
      <c r="P49" s="37">
        <f>SUM(P50:P55)</f>
        <v>329260000</v>
      </c>
      <c r="Q49" s="38" t="s">
        <v>23</v>
      </c>
      <c r="R49" s="29"/>
      <c r="AE49" s="29"/>
      <c r="AF49" s="206"/>
      <c r="AG49" s="206"/>
      <c r="AH49" s="206"/>
    </row>
    <row r="50" spans="1:34" s="28" customFormat="1" ht="15.95" customHeight="1">
      <c r="A50" s="39"/>
      <c r="B50" s="43"/>
      <c r="C50" s="561"/>
      <c r="D50" s="631"/>
      <c r="E50" s="537"/>
      <c r="F50" s="636"/>
      <c r="G50" s="608"/>
      <c r="H50" s="611"/>
      <c r="I50" s="258" t="s">
        <v>214</v>
      </c>
      <c r="J50" s="51">
        <v>13415000</v>
      </c>
      <c r="K50" s="67" t="s">
        <v>26</v>
      </c>
      <c r="L50" s="478" t="s">
        <v>32</v>
      </c>
      <c r="M50" s="478">
        <v>12</v>
      </c>
      <c r="N50" s="478" t="s">
        <v>26</v>
      </c>
      <c r="O50" s="478" t="s">
        <v>43</v>
      </c>
      <c r="P50" s="68">
        <f>J50*M50</f>
        <v>160980000</v>
      </c>
      <c r="Q50" s="49" t="s">
        <v>14</v>
      </c>
      <c r="R50" s="29"/>
      <c r="AE50" s="29"/>
      <c r="AF50" s="206"/>
      <c r="AG50" s="206"/>
      <c r="AH50" s="206"/>
    </row>
    <row r="51" spans="1:34" s="28" customFormat="1" ht="15.95" customHeight="1">
      <c r="A51" s="39"/>
      <c r="B51" s="43"/>
      <c r="C51" s="535"/>
      <c r="D51" s="631"/>
      <c r="E51" s="537"/>
      <c r="F51" s="636"/>
      <c r="G51" s="608">
        <f t="shared" si="1"/>
        <v>0</v>
      </c>
      <c r="H51" s="611" t="e">
        <f t="shared" si="3"/>
        <v>#DIV/0!</v>
      </c>
      <c r="I51" s="258" t="s">
        <v>215</v>
      </c>
      <c r="J51" s="51">
        <v>2640000</v>
      </c>
      <c r="K51" s="67" t="s">
        <v>23</v>
      </c>
      <c r="L51" s="47" t="s">
        <v>32</v>
      </c>
      <c r="M51" s="478">
        <v>1</v>
      </c>
      <c r="N51" s="478" t="s">
        <v>33</v>
      </c>
      <c r="O51" s="52" t="s">
        <v>34</v>
      </c>
      <c r="P51" s="51">
        <f>SUM(J51*M51)</f>
        <v>2640000</v>
      </c>
      <c r="Q51" s="49" t="s">
        <v>23</v>
      </c>
      <c r="R51" s="29"/>
      <c r="AE51" s="29"/>
      <c r="AF51" s="206"/>
      <c r="AG51" s="206"/>
      <c r="AH51" s="206"/>
    </row>
    <row r="52" spans="1:34" s="28" customFormat="1" ht="15.95" customHeight="1">
      <c r="A52" s="39"/>
      <c r="B52" s="43"/>
      <c r="C52" s="535"/>
      <c r="D52" s="631"/>
      <c r="E52" s="537"/>
      <c r="F52" s="636"/>
      <c r="G52" s="608"/>
      <c r="H52" s="611"/>
      <c r="I52" s="258" t="s">
        <v>216</v>
      </c>
      <c r="J52" s="51">
        <v>145000000</v>
      </c>
      <c r="K52" s="67" t="s">
        <v>23</v>
      </c>
      <c r="L52" s="47" t="s">
        <v>32</v>
      </c>
      <c r="M52" s="478">
        <v>1</v>
      </c>
      <c r="N52" s="478" t="s">
        <v>33</v>
      </c>
      <c r="O52" s="52" t="s">
        <v>34</v>
      </c>
      <c r="P52" s="51">
        <f>SUM(J52*M52)</f>
        <v>145000000</v>
      </c>
      <c r="Q52" s="49" t="s">
        <v>23</v>
      </c>
      <c r="R52" s="29"/>
      <c r="AE52" s="29"/>
      <c r="AF52" s="206"/>
      <c r="AG52" s="206"/>
      <c r="AH52" s="206"/>
    </row>
    <row r="53" spans="1:34" s="28" customFormat="1" ht="15.95" customHeight="1">
      <c r="A53" s="39"/>
      <c r="B53" s="43"/>
      <c r="C53" s="535"/>
      <c r="D53" s="631"/>
      <c r="E53" s="537"/>
      <c r="F53" s="636"/>
      <c r="G53" s="608">
        <f t="shared" si="1"/>
        <v>0</v>
      </c>
      <c r="H53" s="611" t="e">
        <f t="shared" si="3"/>
        <v>#DIV/0!</v>
      </c>
      <c r="I53" s="258" t="s">
        <v>217</v>
      </c>
      <c r="J53" s="51">
        <v>770000</v>
      </c>
      <c r="K53" s="67" t="s">
        <v>23</v>
      </c>
      <c r="L53" s="47" t="s">
        <v>32</v>
      </c>
      <c r="M53" s="478">
        <v>12</v>
      </c>
      <c r="N53" s="478" t="s">
        <v>87</v>
      </c>
      <c r="O53" s="52" t="s">
        <v>34</v>
      </c>
      <c r="P53" s="51">
        <f>SUM(J53*M53)</f>
        <v>9240000</v>
      </c>
      <c r="Q53" s="49" t="s">
        <v>23</v>
      </c>
      <c r="R53" s="29"/>
      <c r="AE53" s="29"/>
      <c r="AF53" s="206"/>
      <c r="AG53" s="206"/>
      <c r="AH53" s="206"/>
    </row>
    <row r="54" spans="1:34" s="28" customFormat="1" ht="15.95" customHeight="1">
      <c r="A54" s="39"/>
      <c r="B54" s="43"/>
      <c r="C54" s="535"/>
      <c r="D54" s="631"/>
      <c r="E54" s="537"/>
      <c r="F54" s="636"/>
      <c r="G54" s="608"/>
      <c r="H54" s="611"/>
      <c r="I54" s="258" t="s">
        <v>218</v>
      </c>
      <c r="J54" s="51">
        <v>550000</v>
      </c>
      <c r="K54" s="67" t="s">
        <v>23</v>
      </c>
      <c r="L54" s="47" t="s">
        <v>32</v>
      </c>
      <c r="M54" s="478">
        <v>12</v>
      </c>
      <c r="N54" s="478" t="s">
        <v>87</v>
      </c>
      <c r="O54" s="52" t="s">
        <v>34</v>
      </c>
      <c r="P54" s="51">
        <f>SUM(J54*M54)</f>
        <v>6600000</v>
      </c>
      <c r="Q54" s="49" t="s">
        <v>23</v>
      </c>
      <c r="R54" s="29"/>
      <c r="AE54" s="29"/>
      <c r="AF54" s="206"/>
      <c r="AG54" s="206"/>
      <c r="AH54" s="206"/>
    </row>
    <row r="55" spans="1:34" s="28" customFormat="1" ht="15.95" customHeight="1">
      <c r="A55" s="39"/>
      <c r="B55" s="43"/>
      <c r="C55" s="661"/>
      <c r="D55" s="632"/>
      <c r="E55" s="565"/>
      <c r="F55" s="647"/>
      <c r="G55" s="609">
        <f t="shared" si="1"/>
        <v>0</v>
      </c>
      <c r="H55" s="612" t="e">
        <f t="shared" ref="H55:H65" si="4">+G55/D55*100</f>
        <v>#DIV/0!</v>
      </c>
      <c r="I55" s="256" t="s">
        <v>219</v>
      </c>
      <c r="J55" s="142">
        <v>600000</v>
      </c>
      <c r="K55" s="245" t="s">
        <v>23</v>
      </c>
      <c r="L55" s="144" t="s">
        <v>32</v>
      </c>
      <c r="M55" s="143">
        <v>8</v>
      </c>
      <c r="N55" s="143" t="s">
        <v>33</v>
      </c>
      <c r="O55" s="145" t="s">
        <v>34</v>
      </c>
      <c r="P55" s="142">
        <f>SUM(J55*M55)</f>
        <v>4800000</v>
      </c>
      <c r="Q55" s="146" t="s">
        <v>23</v>
      </c>
      <c r="R55" s="29"/>
      <c r="AE55" s="29"/>
      <c r="AF55" s="206"/>
      <c r="AG55" s="206"/>
      <c r="AH55" s="206"/>
    </row>
    <row r="56" spans="1:34" s="28" customFormat="1" ht="15.95" customHeight="1">
      <c r="A56" s="39"/>
      <c r="B56" s="43"/>
      <c r="C56" s="535" t="s">
        <v>220</v>
      </c>
      <c r="D56" s="631">
        <v>8460</v>
      </c>
      <c r="E56" s="537">
        <f>P56/1000</f>
        <v>8460</v>
      </c>
      <c r="F56" s="636">
        <v>9102</v>
      </c>
      <c r="G56" s="608">
        <f t="shared" si="1"/>
        <v>0</v>
      </c>
      <c r="H56" s="611">
        <f t="shared" si="4"/>
        <v>0</v>
      </c>
      <c r="I56" s="258"/>
      <c r="J56" s="51"/>
      <c r="K56" s="67"/>
      <c r="L56" s="67"/>
      <c r="M56" s="582" t="s">
        <v>22</v>
      </c>
      <c r="N56" s="582"/>
      <c r="O56" s="582"/>
      <c r="P56" s="68">
        <f>SUM(P57:P59)</f>
        <v>8460000</v>
      </c>
      <c r="Q56" s="49" t="s">
        <v>23</v>
      </c>
      <c r="R56" s="29"/>
      <c r="AE56" s="29"/>
      <c r="AF56" s="206"/>
      <c r="AG56" s="206"/>
      <c r="AH56" s="206"/>
    </row>
    <row r="57" spans="1:34" s="28" customFormat="1" ht="15.95" customHeight="1">
      <c r="A57" s="39"/>
      <c r="B57" s="43"/>
      <c r="C57" s="535"/>
      <c r="D57" s="631"/>
      <c r="E57" s="537"/>
      <c r="F57" s="636"/>
      <c r="G57" s="608">
        <f t="shared" si="1"/>
        <v>0</v>
      </c>
      <c r="H57" s="611" t="e">
        <f t="shared" si="4"/>
        <v>#DIV/0!</v>
      </c>
      <c r="I57" s="258" t="s">
        <v>221</v>
      </c>
      <c r="J57" s="51">
        <v>400000</v>
      </c>
      <c r="K57" s="67" t="s">
        <v>23</v>
      </c>
      <c r="L57" s="47" t="s">
        <v>32</v>
      </c>
      <c r="M57" s="478">
        <v>12</v>
      </c>
      <c r="N57" s="478" t="s">
        <v>87</v>
      </c>
      <c r="O57" s="52" t="s">
        <v>34</v>
      </c>
      <c r="P57" s="51">
        <f>SUM(J57*M57)</f>
        <v>4800000</v>
      </c>
      <c r="Q57" s="49" t="s">
        <v>23</v>
      </c>
      <c r="R57" s="29"/>
      <c r="AE57" s="29"/>
      <c r="AF57" s="206"/>
      <c r="AG57" s="206"/>
      <c r="AH57" s="206"/>
    </row>
    <row r="58" spans="1:34" s="28" customFormat="1" ht="15.95" customHeight="1">
      <c r="A58" s="39"/>
      <c r="B58" s="43"/>
      <c r="C58" s="535"/>
      <c r="D58" s="631"/>
      <c r="E58" s="537"/>
      <c r="F58" s="636"/>
      <c r="G58" s="608">
        <f t="shared" si="1"/>
        <v>0</v>
      </c>
      <c r="H58" s="611" t="e">
        <f t="shared" si="4"/>
        <v>#DIV/0!</v>
      </c>
      <c r="I58" s="258" t="s">
        <v>222</v>
      </c>
      <c r="J58" s="51">
        <v>235000</v>
      </c>
      <c r="K58" s="67" t="s">
        <v>23</v>
      </c>
      <c r="L58" s="47" t="s">
        <v>32</v>
      </c>
      <c r="M58" s="478">
        <v>12</v>
      </c>
      <c r="N58" s="478" t="s">
        <v>87</v>
      </c>
      <c r="O58" s="52" t="s">
        <v>34</v>
      </c>
      <c r="P58" s="51">
        <f>SUM(J58*M58)</f>
        <v>2820000</v>
      </c>
      <c r="Q58" s="49" t="s">
        <v>23</v>
      </c>
      <c r="R58" s="29"/>
      <c r="AE58" s="29"/>
      <c r="AF58" s="206"/>
      <c r="AG58" s="206"/>
      <c r="AH58" s="206"/>
    </row>
    <row r="59" spans="1:34" s="28" customFormat="1" ht="15.95" customHeight="1">
      <c r="A59" s="39"/>
      <c r="B59" s="43"/>
      <c r="C59" s="535"/>
      <c r="D59" s="631"/>
      <c r="E59" s="537"/>
      <c r="F59" s="636"/>
      <c r="G59" s="608">
        <f t="shared" si="1"/>
        <v>0</v>
      </c>
      <c r="H59" s="611" t="e">
        <f t="shared" si="4"/>
        <v>#DIV/0!</v>
      </c>
      <c r="I59" s="258" t="s">
        <v>223</v>
      </c>
      <c r="J59" s="51">
        <v>70000</v>
      </c>
      <c r="K59" s="67" t="s">
        <v>23</v>
      </c>
      <c r="L59" s="47" t="s">
        <v>32</v>
      </c>
      <c r="M59" s="478">
        <v>12</v>
      </c>
      <c r="N59" s="478" t="s">
        <v>33</v>
      </c>
      <c r="O59" s="52" t="s">
        <v>34</v>
      </c>
      <c r="P59" s="51">
        <f>SUM(J59*M59)</f>
        <v>840000</v>
      </c>
      <c r="Q59" s="49" t="s">
        <v>23</v>
      </c>
      <c r="R59" s="29"/>
      <c r="AE59" s="29"/>
      <c r="AF59" s="206"/>
      <c r="AG59" s="206"/>
      <c r="AH59" s="206"/>
    </row>
    <row r="60" spans="1:34" s="28" customFormat="1" ht="15.95" customHeight="1">
      <c r="A60" s="39" t="s">
        <v>2</v>
      </c>
      <c r="B60" s="43" t="s">
        <v>2</v>
      </c>
      <c r="C60" s="549" t="s">
        <v>224</v>
      </c>
      <c r="D60" s="616">
        <v>100960</v>
      </c>
      <c r="E60" s="552">
        <f>+P60/1000</f>
        <v>100960.12</v>
      </c>
      <c r="F60" s="635">
        <v>194780</v>
      </c>
      <c r="G60" s="607">
        <f t="shared" si="1"/>
        <v>0.11999999999534339</v>
      </c>
      <c r="H60" s="610">
        <f t="shared" si="4"/>
        <v>1.1885895403659211E-4</v>
      </c>
      <c r="I60" s="255"/>
      <c r="J60" s="42"/>
      <c r="K60" s="69"/>
      <c r="L60" s="69"/>
      <c r="M60" s="528" t="s">
        <v>22</v>
      </c>
      <c r="N60" s="528"/>
      <c r="O60" s="528"/>
      <c r="P60" s="37">
        <f>SUM(P61:P64)</f>
        <v>100960120</v>
      </c>
      <c r="Q60" s="38" t="s">
        <v>23</v>
      </c>
      <c r="R60" s="29"/>
      <c r="AE60" s="29"/>
      <c r="AF60" s="206"/>
      <c r="AG60" s="206"/>
      <c r="AH60" s="206"/>
    </row>
    <row r="61" spans="1:34" s="28" customFormat="1" ht="15.95" customHeight="1">
      <c r="A61" s="39"/>
      <c r="B61" s="43"/>
      <c r="C61" s="550"/>
      <c r="D61" s="631"/>
      <c r="E61" s="537"/>
      <c r="F61" s="636"/>
      <c r="G61" s="608"/>
      <c r="H61" s="611"/>
      <c r="I61" s="258" t="s">
        <v>225</v>
      </c>
      <c r="J61" s="51">
        <v>2400000</v>
      </c>
      <c r="K61" s="67" t="s">
        <v>74</v>
      </c>
      <c r="L61" s="47" t="s">
        <v>32</v>
      </c>
      <c r="M61" s="478">
        <v>3</v>
      </c>
      <c r="N61" s="478" t="s">
        <v>42</v>
      </c>
      <c r="O61" s="52" t="s">
        <v>73</v>
      </c>
      <c r="P61" s="51">
        <f>SUM(J61*M61)</f>
        <v>7200000</v>
      </c>
      <c r="Q61" s="49" t="s">
        <v>74</v>
      </c>
      <c r="R61" s="29"/>
      <c r="AE61" s="29"/>
      <c r="AF61" s="206"/>
      <c r="AG61" s="206"/>
      <c r="AH61" s="206"/>
    </row>
    <row r="62" spans="1:34" s="28" customFormat="1" ht="15.95" customHeight="1">
      <c r="A62" s="39"/>
      <c r="B62" s="43"/>
      <c r="C62" s="550"/>
      <c r="D62" s="631"/>
      <c r="E62" s="537"/>
      <c r="F62" s="636"/>
      <c r="G62" s="608"/>
      <c r="H62" s="611"/>
      <c r="I62" s="266" t="s">
        <v>226</v>
      </c>
      <c r="J62" s="51">
        <v>1900000</v>
      </c>
      <c r="K62" s="67" t="s">
        <v>74</v>
      </c>
      <c r="L62" s="47" t="s">
        <v>32</v>
      </c>
      <c r="M62" s="478">
        <v>2</v>
      </c>
      <c r="N62" s="478" t="s">
        <v>42</v>
      </c>
      <c r="O62" s="478" t="s">
        <v>73</v>
      </c>
      <c r="P62" s="51">
        <f>SUM(J62*M62)</f>
        <v>3800000</v>
      </c>
      <c r="Q62" s="49" t="s">
        <v>74</v>
      </c>
      <c r="R62" s="29"/>
      <c r="AE62" s="29"/>
      <c r="AF62" s="206"/>
      <c r="AG62" s="206"/>
      <c r="AH62" s="206"/>
    </row>
    <row r="63" spans="1:34" s="28" customFormat="1" ht="15.95" customHeight="1">
      <c r="A63" s="39"/>
      <c r="B63" s="43"/>
      <c r="C63" s="550"/>
      <c r="D63" s="631"/>
      <c r="E63" s="537"/>
      <c r="F63" s="636"/>
      <c r="G63" s="608"/>
      <c r="H63" s="611"/>
      <c r="I63" s="258" t="s">
        <v>227</v>
      </c>
      <c r="J63" s="51">
        <v>1200000</v>
      </c>
      <c r="K63" s="67" t="s">
        <v>74</v>
      </c>
      <c r="L63" s="47" t="s">
        <v>32</v>
      </c>
      <c r="M63" s="478">
        <v>3</v>
      </c>
      <c r="N63" s="478" t="s">
        <v>228</v>
      </c>
      <c r="O63" s="52" t="s">
        <v>73</v>
      </c>
      <c r="P63" s="51">
        <f>SUM(J63*M63)</f>
        <v>3600000</v>
      </c>
      <c r="Q63" s="49" t="s">
        <v>74</v>
      </c>
      <c r="R63" s="29"/>
      <c r="AE63" s="29"/>
      <c r="AF63" s="206"/>
      <c r="AG63" s="206"/>
      <c r="AH63" s="206"/>
    </row>
    <row r="64" spans="1:34" s="28" customFormat="1" ht="15.95" customHeight="1">
      <c r="A64" s="39"/>
      <c r="B64" s="43"/>
      <c r="C64" s="551"/>
      <c r="D64" s="632"/>
      <c r="E64" s="565"/>
      <c r="F64" s="490"/>
      <c r="G64" s="609"/>
      <c r="H64" s="612"/>
      <c r="I64" s="258" t="s">
        <v>229</v>
      </c>
      <c r="J64" s="51">
        <v>86360120</v>
      </c>
      <c r="K64" s="67" t="s">
        <v>74</v>
      </c>
      <c r="L64" s="47" t="s">
        <v>32</v>
      </c>
      <c r="M64" s="478">
        <v>1</v>
      </c>
      <c r="N64" s="478" t="s">
        <v>42</v>
      </c>
      <c r="O64" s="52" t="s">
        <v>73</v>
      </c>
      <c r="P64" s="51">
        <f>SUM(J64*M64)</f>
        <v>86360120</v>
      </c>
      <c r="Q64" s="49" t="s">
        <v>74</v>
      </c>
      <c r="R64" s="29"/>
      <c r="AE64" s="29"/>
      <c r="AF64" s="206"/>
      <c r="AG64" s="206"/>
      <c r="AH64" s="206"/>
    </row>
    <row r="65" spans="1:34" s="28" customFormat="1" ht="15.95" customHeight="1">
      <c r="A65" s="39"/>
      <c r="B65" s="43"/>
      <c r="C65" s="549" t="s">
        <v>230</v>
      </c>
      <c r="D65" s="616">
        <v>65270</v>
      </c>
      <c r="E65" s="552">
        <f>+P65/1000</f>
        <v>64444.5</v>
      </c>
      <c r="F65" s="489">
        <v>36590</v>
      </c>
      <c r="G65" s="607">
        <f t="shared" si="1"/>
        <v>-825.5</v>
      </c>
      <c r="H65" s="610">
        <f t="shared" si="4"/>
        <v>-1.2647464378734488</v>
      </c>
      <c r="I65" s="267"/>
      <c r="J65" s="268"/>
      <c r="K65" s="69"/>
      <c r="L65" s="457"/>
      <c r="M65" s="528" t="s">
        <v>22</v>
      </c>
      <c r="N65" s="528"/>
      <c r="O65" s="528"/>
      <c r="P65" s="42">
        <f>SUM(P66:P72)</f>
        <v>64444500</v>
      </c>
      <c r="Q65" s="38" t="s">
        <v>23</v>
      </c>
      <c r="R65" s="29"/>
      <c r="AE65" s="29"/>
      <c r="AF65" s="206"/>
      <c r="AG65" s="206"/>
      <c r="AH65" s="206"/>
    </row>
    <row r="66" spans="1:34" s="28" customFormat="1" ht="15.95" customHeight="1">
      <c r="A66" s="39"/>
      <c r="B66" s="43"/>
      <c r="C66" s="550"/>
      <c r="D66" s="631"/>
      <c r="E66" s="537"/>
      <c r="F66" s="490"/>
      <c r="G66" s="608"/>
      <c r="H66" s="611"/>
      <c r="I66" s="258" t="s">
        <v>231</v>
      </c>
      <c r="J66" s="51">
        <v>2300000</v>
      </c>
      <c r="K66" s="67" t="s">
        <v>23</v>
      </c>
      <c r="L66" s="47" t="s">
        <v>32</v>
      </c>
      <c r="M66" s="478">
        <v>12</v>
      </c>
      <c r="N66" s="478" t="s">
        <v>232</v>
      </c>
      <c r="O66" s="52" t="s">
        <v>34</v>
      </c>
      <c r="P66" s="51">
        <f t="shared" ref="P66:P72" si="5">SUM(J66*M66)</f>
        <v>27600000</v>
      </c>
      <c r="Q66" s="49" t="s">
        <v>23</v>
      </c>
      <c r="R66" s="29"/>
      <c r="AE66" s="29"/>
      <c r="AF66" s="206"/>
      <c r="AG66" s="206"/>
      <c r="AH66" s="206"/>
    </row>
    <row r="67" spans="1:34" s="28" customFormat="1" ht="15.95" customHeight="1">
      <c r="A67" s="39"/>
      <c r="B67" s="43"/>
      <c r="C67" s="550"/>
      <c r="D67" s="631"/>
      <c r="E67" s="537"/>
      <c r="F67" s="490"/>
      <c r="G67" s="608"/>
      <c r="H67" s="611"/>
      <c r="I67" s="258" t="s">
        <v>233</v>
      </c>
      <c r="J67" s="51">
        <v>1500000</v>
      </c>
      <c r="K67" s="67" t="s">
        <v>23</v>
      </c>
      <c r="L67" s="47" t="s">
        <v>32</v>
      </c>
      <c r="M67" s="478">
        <v>12</v>
      </c>
      <c r="N67" s="478" t="s">
        <v>33</v>
      </c>
      <c r="O67" s="52" t="s">
        <v>34</v>
      </c>
      <c r="P67" s="51">
        <f t="shared" si="5"/>
        <v>18000000</v>
      </c>
      <c r="Q67" s="49" t="s">
        <v>23</v>
      </c>
      <c r="R67" s="29"/>
      <c r="AE67" s="29"/>
      <c r="AF67" s="206"/>
      <c r="AG67" s="206"/>
      <c r="AH67" s="206"/>
    </row>
    <row r="68" spans="1:34" s="28" customFormat="1" ht="15.95" customHeight="1">
      <c r="A68" s="39"/>
      <c r="B68" s="43"/>
      <c r="C68" s="550"/>
      <c r="D68" s="631"/>
      <c r="E68" s="537"/>
      <c r="F68" s="490"/>
      <c r="G68" s="608"/>
      <c r="H68" s="611"/>
      <c r="I68" s="258" t="s">
        <v>234</v>
      </c>
      <c r="J68" s="51">
        <v>3300000</v>
      </c>
      <c r="K68" s="67" t="s">
        <v>23</v>
      </c>
      <c r="L68" s="47" t="s">
        <v>32</v>
      </c>
      <c r="M68" s="478">
        <v>2</v>
      </c>
      <c r="N68" s="478" t="s">
        <v>33</v>
      </c>
      <c r="O68" s="52" t="s">
        <v>34</v>
      </c>
      <c r="P68" s="51">
        <f t="shared" si="5"/>
        <v>6600000</v>
      </c>
      <c r="Q68" s="49" t="s">
        <v>23</v>
      </c>
      <c r="R68" s="29"/>
      <c r="AE68" s="29"/>
      <c r="AF68" s="206"/>
      <c r="AG68" s="206"/>
      <c r="AH68" s="206"/>
    </row>
    <row r="69" spans="1:34" s="28" customFormat="1" ht="15.95" customHeight="1">
      <c r="A69" s="39"/>
      <c r="B69" s="43"/>
      <c r="C69" s="550"/>
      <c r="D69" s="631"/>
      <c r="E69" s="537"/>
      <c r="F69" s="490"/>
      <c r="G69" s="608"/>
      <c r="H69" s="611"/>
      <c r="I69" s="122" t="s">
        <v>235</v>
      </c>
      <c r="J69" s="188">
        <v>5604500</v>
      </c>
      <c r="K69" s="107" t="s">
        <v>23</v>
      </c>
      <c r="L69" s="74" t="s">
        <v>32</v>
      </c>
      <c r="M69" s="73">
        <v>1</v>
      </c>
      <c r="N69" s="73" t="s">
        <v>82</v>
      </c>
      <c r="O69" s="75" t="s">
        <v>34</v>
      </c>
      <c r="P69" s="188">
        <f t="shared" si="5"/>
        <v>5604500</v>
      </c>
      <c r="Q69" s="76" t="s">
        <v>23</v>
      </c>
      <c r="R69" s="29"/>
      <c r="AE69" s="29"/>
      <c r="AF69" s="206"/>
      <c r="AG69" s="206"/>
      <c r="AH69" s="206"/>
    </row>
    <row r="70" spans="1:34" s="28" customFormat="1" ht="15.95" customHeight="1">
      <c r="A70" s="39"/>
      <c r="B70" s="43"/>
      <c r="C70" s="550"/>
      <c r="D70" s="631"/>
      <c r="E70" s="537"/>
      <c r="F70" s="490"/>
      <c r="G70" s="608"/>
      <c r="H70" s="611"/>
      <c r="I70" s="258" t="s">
        <v>236</v>
      </c>
      <c r="J70" s="51">
        <v>1200000</v>
      </c>
      <c r="K70" s="67" t="s">
        <v>23</v>
      </c>
      <c r="L70" s="47" t="s">
        <v>32</v>
      </c>
      <c r="M70" s="478">
        <v>2</v>
      </c>
      <c r="N70" s="478" t="s">
        <v>50</v>
      </c>
      <c r="O70" s="52" t="s">
        <v>34</v>
      </c>
      <c r="P70" s="51">
        <f t="shared" si="5"/>
        <v>2400000</v>
      </c>
      <c r="Q70" s="49" t="s">
        <v>23</v>
      </c>
      <c r="R70" s="29"/>
      <c r="AE70" s="29"/>
      <c r="AF70" s="206"/>
      <c r="AG70" s="206"/>
      <c r="AH70" s="206"/>
    </row>
    <row r="71" spans="1:34" s="28" customFormat="1" ht="15.95" customHeight="1">
      <c r="A71" s="39"/>
      <c r="B71" s="43"/>
      <c r="C71" s="550"/>
      <c r="D71" s="631"/>
      <c r="E71" s="537"/>
      <c r="F71" s="490"/>
      <c r="G71" s="608"/>
      <c r="H71" s="611"/>
      <c r="I71" s="258" t="s">
        <v>237</v>
      </c>
      <c r="J71" s="51">
        <v>330000</v>
      </c>
      <c r="K71" s="67" t="s">
        <v>23</v>
      </c>
      <c r="L71" s="47" t="s">
        <v>32</v>
      </c>
      <c r="M71" s="478">
        <v>12</v>
      </c>
      <c r="N71" s="478" t="s">
        <v>33</v>
      </c>
      <c r="O71" s="52" t="s">
        <v>34</v>
      </c>
      <c r="P71" s="51">
        <f t="shared" si="5"/>
        <v>3960000</v>
      </c>
      <c r="Q71" s="49" t="s">
        <v>23</v>
      </c>
      <c r="R71" s="29"/>
      <c r="AE71" s="29"/>
      <c r="AF71" s="206"/>
      <c r="AG71" s="206"/>
      <c r="AH71" s="206"/>
    </row>
    <row r="72" spans="1:34" s="28" customFormat="1" ht="15.95" customHeight="1">
      <c r="A72" s="39"/>
      <c r="B72" s="43"/>
      <c r="C72" s="551"/>
      <c r="D72" s="632"/>
      <c r="E72" s="565"/>
      <c r="F72" s="490"/>
      <c r="G72" s="609"/>
      <c r="H72" s="612"/>
      <c r="I72" s="258" t="s">
        <v>238</v>
      </c>
      <c r="J72" s="51">
        <v>280000</v>
      </c>
      <c r="K72" s="67" t="s">
        <v>23</v>
      </c>
      <c r="L72" s="47" t="s">
        <v>32</v>
      </c>
      <c r="M72" s="478">
        <v>1</v>
      </c>
      <c r="N72" s="478" t="s">
        <v>33</v>
      </c>
      <c r="O72" s="52" t="s">
        <v>34</v>
      </c>
      <c r="P72" s="51">
        <f t="shared" si="5"/>
        <v>280000</v>
      </c>
      <c r="Q72" s="49" t="s">
        <v>23</v>
      </c>
      <c r="R72" s="29"/>
      <c r="AE72" s="29"/>
      <c r="AF72" s="206"/>
      <c r="AG72" s="206"/>
      <c r="AH72" s="206"/>
    </row>
    <row r="73" spans="1:34" s="28" customFormat="1" ht="15.95" customHeight="1">
      <c r="A73" s="39"/>
      <c r="B73" s="43"/>
      <c r="C73" s="534" t="s">
        <v>239</v>
      </c>
      <c r="D73" s="616">
        <v>2400</v>
      </c>
      <c r="E73" s="552">
        <f>+P73/1000</f>
        <v>2400</v>
      </c>
      <c r="F73" s="635">
        <v>6589</v>
      </c>
      <c r="G73" s="607">
        <f>+E73-D73</f>
        <v>0</v>
      </c>
      <c r="H73" s="610">
        <f>+G73/D73*100</f>
        <v>0</v>
      </c>
      <c r="I73" s="255"/>
      <c r="J73" s="42"/>
      <c r="K73" s="69"/>
      <c r="L73" s="457"/>
      <c r="M73" s="528" t="s">
        <v>22</v>
      </c>
      <c r="N73" s="528"/>
      <c r="O73" s="528"/>
      <c r="P73" s="42">
        <f>SUM(P74:P75)</f>
        <v>2400000</v>
      </c>
      <c r="Q73" s="38" t="s">
        <v>23</v>
      </c>
      <c r="R73" s="29"/>
      <c r="AE73" s="29"/>
      <c r="AF73" s="206"/>
      <c r="AG73" s="206"/>
      <c r="AH73" s="206"/>
    </row>
    <row r="74" spans="1:34" s="28" customFormat="1" ht="15.95" customHeight="1">
      <c r="A74" s="39"/>
      <c r="B74" s="43"/>
      <c r="C74" s="535"/>
      <c r="D74" s="631"/>
      <c r="E74" s="537"/>
      <c r="F74" s="636"/>
      <c r="G74" s="608">
        <f>+E74-D74</f>
        <v>0</v>
      </c>
      <c r="H74" s="611" t="e">
        <f>+G74/D74*100</f>
        <v>#DIV/0!</v>
      </c>
      <c r="I74" s="258" t="s">
        <v>240</v>
      </c>
      <c r="J74" s="51">
        <v>100000</v>
      </c>
      <c r="K74" s="67" t="s">
        <v>74</v>
      </c>
      <c r="L74" s="478" t="s">
        <v>32</v>
      </c>
      <c r="M74" s="478">
        <v>12</v>
      </c>
      <c r="N74" s="478" t="s">
        <v>26</v>
      </c>
      <c r="O74" s="52" t="s">
        <v>34</v>
      </c>
      <c r="P74" s="51">
        <f>SUM(J74*M74)</f>
        <v>1200000</v>
      </c>
      <c r="Q74" s="49" t="s">
        <v>23</v>
      </c>
      <c r="R74" s="29"/>
      <c r="AE74" s="29"/>
      <c r="AF74" s="206"/>
      <c r="AG74" s="206"/>
      <c r="AH74" s="206"/>
    </row>
    <row r="75" spans="1:34" s="28" customFormat="1" ht="15.95" customHeight="1">
      <c r="A75" s="269"/>
      <c r="B75" s="270"/>
      <c r="C75" s="661"/>
      <c r="D75" s="632"/>
      <c r="E75" s="565"/>
      <c r="F75" s="647"/>
      <c r="G75" s="609">
        <f>+E75-D75</f>
        <v>0</v>
      </c>
      <c r="H75" s="612" t="e">
        <f>+G75/D75*100</f>
        <v>#DIV/0!</v>
      </c>
      <c r="I75" s="256" t="s">
        <v>241</v>
      </c>
      <c r="J75" s="142">
        <v>200000</v>
      </c>
      <c r="K75" s="245" t="s">
        <v>23</v>
      </c>
      <c r="L75" s="144" t="s">
        <v>32</v>
      </c>
      <c r="M75" s="143">
        <v>6</v>
      </c>
      <c r="N75" s="143" t="s">
        <v>33</v>
      </c>
      <c r="O75" s="145" t="s">
        <v>34</v>
      </c>
      <c r="P75" s="142">
        <f>SUM(J75*M75)</f>
        <v>1200000</v>
      </c>
      <c r="Q75" s="146" t="s">
        <v>23</v>
      </c>
      <c r="R75" s="29"/>
      <c r="AE75" s="29"/>
      <c r="AF75" s="206"/>
      <c r="AG75" s="206"/>
      <c r="AH75" s="206"/>
    </row>
    <row r="76" spans="1:34" s="28" customFormat="1" ht="20.100000000000001" customHeight="1">
      <c r="A76" s="18" t="s">
        <v>15</v>
      </c>
      <c r="B76" s="529" t="s">
        <v>16</v>
      </c>
      <c r="C76" s="530"/>
      <c r="D76" s="271">
        <f>SUM(D77:D81)</f>
        <v>15500</v>
      </c>
      <c r="E76" s="19">
        <f>SUM(E77:E81)</f>
        <v>14000</v>
      </c>
      <c r="F76" s="272">
        <f>SUM(F77:F81)</f>
        <v>215364</v>
      </c>
      <c r="G76" s="273">
        <f>+E76-D76</f>
        <v>-1500</v>
      </c>
      <c r="H76" s="274">
        <f>+G76/D76*100</f>
        <v>-9.67741935483871</v>
      </c>
      <c r="I76" s="258"/>
      <c r="J76" s="51"/>
      <c r="K76" s="67"/>
      <c r="L76" s="478"/>
      <c r="M76" s="478"/>
      <c r="N76" s="478"/>
      <c r="O76" s="478"/>
      <c r="P76" s="275">
        <f>SUM(P77,P79,P81)</f>
        <v>14000000</v>
      </c>
      <c r="Q76" s="27" t="s">
        <v>14</v>
      </c>
      <c r="R76" s="29"/>
      <c r="AE76" s="29"/>
      <c r="AF76" s="206"/>
      <c r="AG76" s="206"/>
      <c r="AH76" s="206"/>
    </row>
    <row r="77" spans="1:34" s="28" customFormat="1" ht="16.5" customHeight="1">
      <c r="A77" s="18" t="s">
        <v>242</v>
      </c>
      <c r="B77" s="30" t="s">
        <v>243</v>
      </c>
      <c r="C77" s="534" t="s">
        <v>243</v>
      </c>
      <c r="D77" s="616">
        <v>3000</v>
      </c>
      <c r="E77" s="552">
        <f>+P77/1000</f>
        <v>3000</v>
      </c>
      <c r="F77" s="635">
        <v>290</v>
      </c>
      <c r="G77" s="607">
        <f>+E77-D77</f>
        <v>0</v>
      </c>
      <c r="H77" s="610">
        <f>+G77/D77*100</f>
        <v>0</v>
      </c>
      <c r="I77" s="276"/>
      <c r="J77" s="42"/>
      <c r="K77" s="69"/>
      <c r="L77" s="53"/>
      <c r="M77" s="457" t="s">
        <v>22</v>
      </c>
      <c r="N77" s="457"/>
      <c r="O77" s="457"/>
      <c r="P77" s="42">
        <f>SUM(P78:P78)</f>
        <v>3000000</v>
      </c>
      <c r="Q77" s="38" t="s">
        <v>23</v>
      </c>
      <c r="R77" s="29"/>
      <c r="AE77" s="29"/>
      <c r="AF77" s="206"/>
      <c r="AG77" s="206"/>
      <c r="AH77" s="206"/>
    </row>
    <row r="78" spans="1:34" s="28" customFormat="1" ht="16.5" customHeight="1">
      <c r="A78" s="39"/>
      <c r="B78" s="43"/>
      <c r="C78" s="661"/>
      <c r="D78" s="632"/>
      <c r="E78" s="565"/>
      <c r="F78" s="647"/>
      <c r="G78" s="609"/>
      <c r="H78" s="612"/>
      <c r="I78" s="277" t="s">
        <v>244</v>
      </c>
      <c r="J78" s="142">
        <v>3000000</v>
      </c>
      <c r="K78" s="245" t="s">
        <v>23</v>
      </c>
      <c r="L78" s="144" t="s">
        <v>32</v>
      </c>
      <c r="M78" s="143">
        <v>1</v>
      </c>
      <c r="N78" s="143" t="s">
        <v>33</v>
      </c>
      <c r="O78" s="145" t="s">
        <v>34</v>
      </c>
      <c r="P78" s="142">
        <f>SUM(J78*M78)</f>
        <v>3000000</v>
      </c>
      <c r="Q78" s="146" t="s">
        <v>23</v>
      </c>
      <c r="R78" s="29"/>
      <c r="AE78" s="29"/>
      <c r="AF78" s="206"/>
      <c r="AG78" s="206"/>
      <c r="AH78" s="206"/>
    </row>
    <row r="79" spans="1:34" s="28" customFormat="1" ht="16.5" customHeight="1">
      <c r="A79" s="39"/>
      <c r="B79" s="43"/>
      <c r="C79" s="549" t="s">
        <v>245</v>
      </c>
      <c r="D79" s="616">
        <v>5000</v>
      </c>
      <c r="E79" s="552">
        <f>+P79/1000</f>
        <v>5000</v>
      </c>
      <c r="F79" s="635">
        <v>80074</v>
      </c>
      <c r="G79" s="607">
        <f>+E79-D79</f>
        <v>0</v>
      </c>
      <c r="H79" s="610">
        <f>+G79/D79*100</f>
        <v>0</v>
      </c>
      <c r="I79" s="278"/>
      <c r="J79" s="51"/>
      <c r="K79" s="67"/>
      <c r="L79" s="47"/>
      <c r="M79" s="478" t="s">
        <v>22</v>
      </c>
      <c r="N79" s="478"/>
      <c r="O79" s="478"/>
      <c r="P79" s="51">
        <f>SUM(P80:P80)</f>
        <v>5000000</v>
      </c>
      <c r="Q79" s="49" t="s">
        <v>23</v>
      </c>
      <c r="R79" s="2"/>
      <c r="AE79" s="29"/>
      <c r="AF79" s="206"/>
      <c r="AG79" s="206"/>
      <c r="AH79" s="206"/>
    </row>
    <row r="80" spans="1:34" s="28" customFormat="1" ht="16.5" customHeight="1">
      <c r="A80" s="39"/>
      <c r="B80" s="43"/>
      <c r="C80" s="550"/>
      <c r="D80" s="631"/>
      <c r="E80" s="537"/>
      <c r="F80" s="636"/>
      <c r="G80" s="608"/>
      <c r="H80" s="611"/>
      <c r="I80" s="279" t="s">
        <v>246</v>
      </c>
      <c r="J80" s="51">
        <v>1000000</v>
      </c>
      <c r="K80" s="67" t="s">
        <v>23</v>
      </c>
      <c r="L80" s="47" t="s">
        <v>25</v>
      </c>
      <c r="M80" s="478">
        <v>5</v>
      </c>
      <c r="N80" s="478" t="s">
        <v>33</v>
      </c>
      <c r="O80" s="52" t="s">
        <v>34</v>
      </c>
      <c r="P80" s="51">
        <f>SUM(J80*M80)</f>
        <v>5000000</v>
      </c>
      <c r="Q80" s="49" t="s">
        <v>23</v>
      </c>
      <c r="R80" s="29"/>
      <c r="AE80" s="29"/>
      <c r="AF80" s="206"/>
      <c r="AG80" s="206"/>
      <c r="AH80" s="206"/>
    </row>
    <row r="81" spans="1:34" s="28" customFormat="1" ht="16.5" customHeight="1">
      <c r="A81" s="39"/>
      <c r="B81" s="43"/>
      <c r="C81" s="576" t="s">
        <v>247</v>
      </c>
      <c r="D81" s="616">
        <v>7500</v>
      </c>
      <c r="E81" s="552">
        <f>+P81/1000</f>
        <v>6000</v>
      </c>
      <c r="F81" s="635">
        <v>135000</v>
      </c>
      <c r="G81" s="607">
        <f>+E81-D81</f>
        <v>-1500</v>
      </c>
      <c r="H81" s="610">
        <f>+G81/D81*100</f>
        <v>-20</v>
      </c>
      <c r="I81" s="280"/>
      <c r="J81" s="42"/>
      <c r="K81" s="69"/>
      <c r="L81" s="53"/>
      <c r="M81" s="457" t="s">
        <v>22</v>
      </c>
      <c r="N81" s="457"/>
      <c r="O81" s="457"/>
      <c r="P81" s="42">
        <f>SUM(P82:P83)</f>
        <v>6000000</v>
      </c>
      <c r="Q81" s="38" t="s">
        <v>23</v>
      </c>
      <c r="R81" s="29"/>
      <c r="AE81" s="29"/>
      <c r="AF81" s="206"/>
      <c r="AG81" s="206"/>
      <c r="AH81" s="206"/>
    </row>
    <row r="82" spans="1:34" s="28" customFormat="1" ht="16.5" customHeight="1">
      <c r="A82" s="39"/>
      <c r="B82" s="43"/>
      <c r="C82" s="583"/>
      <c r="D82" s="631"/>
      <c r="E82" s="537"/>
      <c r="F82" s="636"/>
      <c r="G82" s="608"/>
      <c r="H82" s="611"/>
      <c r="I82" s="279" t="s">
        <v>248</v>
      </c>
      <c r="J82" s="51">
        <v>500000</v>
      </c>
      <c r="K82" s="67" t="s">
        <v>14</v>
      </c>
      <c r="L82" s="47" t="s">
        <v>32</v>
      </c>
      <c r="M82" s="478">
        <v>2</v>
      </c>
      <c r="N82" s="478" t="s">
        <v>42</v>
      </c>
      <c r="O82" s="52" t="s">
        <v>27</v>
      </c>
      <c r="P82" s="51">
        <f>J82*M82</f>
        <v>1000000</v>
      </c>
      <c r="Q82" s="49" t="s">
        <v>23</v>
      </c>
      <c r="R82" s="29"/>
      <c r="AE82" s="29"/>
      <c r="AF82" s="206"/>
      <c r="AG82" s="206"/>
      <c r="AH82" s="206"/>
    </row>
    <row r="83" spans="1:34" ht="16.5" customHeight="1" thickBot="1">
      <c r="A83" s="281"/>
      <c r="B83" s="189"/>
      <c r="C83" s="613"/>
      <c r="D83" s="617"/>
      <c r="E83" s="538"/>
      <c r="F83" s="712"/>
      <c r="G83" s="618"/>
      <c r="H83" s="619"/>
      <c r="I83" s="279" t="s">
        <v>249</v>
      </c>
      <c r="J83" s="51">
        <v>5000000</v>
      </c>
      <c r="K83" s="67" t="s">
        <v>23</v>
      </c>
      <c r="L83" s="47" t="s">
        <v>32</v>
      </c>
      <c r="M83" s="478">
        <v>1</v>
      </c>
      <c r="N83" s="478" t="s">
        <v>33</v>
      </c>
      <c r="O83" s="52" t="s">
        <v>34</v>
      </c>
      <c r="P83" s="51">
        <f>J83*M83</f>
        <v>5000000</v>
      </c>
      <c r="Q83" s="49" t="s">
        <v>23</v>
      </c>
    </row>
    <row r="84" spans="1:34" ht="20.100000000000001" customHeight="1">
      <c r="A84" s="282" t="s">
        <v>250</v>
      </c>
      <c r="B84" s="620" t="s">
        <v>16</v>
      </c>
      <c r="C84" s="621"/>
      <c r="D84" s="283">
        <f>+D85+D100+D136+D146+D151+D163+D200+D213+D231+D269+D294+D240+D258+D121</f>
        <v>1426502</v>
      </c>
      <c r="E84" s="283">
        <f>+E85+E100+E136+E146+E151+E163+E200+E213+E231+E269+E294+E240+E258+E121</f>
        <v>1089159.9739999999</v>
      </c>
      <c r="F84" s="284" t="e">
        <f>+F85+F100+F136+F146+F151+F163+F200+F213+F231+F269+F294+F240+F258+F121</f>
        <v>#REF!</v>
      </c>
      <c r="G84" s="285">
        <f>+E84-D84</f>
        <v>-337342.02600000007</v>
      </c>
      <c r="H84" s="286">
        <f>+G84/D84*100</f>
        <v>-23.64819860049268</v>
      </c>
      <c r="I84" s="287"/>
      <c r="J84" s="288"/>
      <c r="K84" s="289"/>
      <c r="L84" s="290"/>
      <c r="M84" s="290"/>
      <c r="N84" s="290"/>
      <c r="O84" s="290"/>
      <c r="P84" s="288">
        <f>+P85+P100+P136+P146+P151+P163+P200+P213+P231+P269+P294+P240+P258+P121</f>
        <v>1089159974</v>
      </c>
      <c r="Q84" s="291" t="s">
        <v>14</v>
      </c>
    </row>
    <row r="85" spans="1:34" ht="20.100000000000001" customHeight="1">
      <c r="A85" s="227"/>
      <c r="B85" s="622" t="s">
        <v>251</v>
      </c>
      <c r="C85" s="292" t="s">
        <v>19</v>
      </c>
      <c r="D85" s="500">
        <f>SUM(D86:D98)</f>
        <v>111300</v>
      </c>
      <c r="E85" s="501">
        <f>SUM(E86:E98)</f>
        <v>106180</v>
      </c>
      <c r="F85" s="293">
        <f>SUM(F86:F98)</f>
        <v>59008</v>
      </c>
      <c r="G85" s="502">
        <f>+E85-D85</f>
        <v>-5120</v>
      </c>
      <c r="H85" s="503">
        <f>+G85/D85*100</f>
        <v>-4.6001796945193174</v>
      </c>
      <c r="I85" s="294"/>
      <c r="J85" s="168"/>
      <c r="K85" s="61"/>
      <c r="L85" s="459"/>
      <c r="M85" s="531" t="s">
        <v>22</v>
      </c>
      <c r="N85" s="531"/>
      <c r="O85" s="531"/>
      <c r="P85" s="168">
        <f>SUM(P86,P89,P94,P98)</f>
        <v>106180000</v>
      </c>
      <c r="Q85" s="98" t="s">
        <v>14</v>
      </c>
    </row>
    <row r="86" spans="1:34" ht="15.95" customHeight="1">
      <c r="A86" s="227"/>
      <c r="B86" s="717"/>
      <c r="C86" s="560" t="s">
        <v>252</v>
      </c>
      <c r="D86" s="686">
        <v>1700</v>
      </c>
      <c r="E86" s="689">
        <f>+P86/1000</f>
        <v>1000</v>
      </c>
      <c r="F86" s="692">
        <v>896</v>
      </c>
      <c r="G86" s="719">
        <f>+E86-D86</f>
        <v>-700</v>
      </c>
      <c r="H86" s="722">
        <f>+G86/D86*100</f>
        <v>-41.17647058823529</v>
      </c>
      <c r="I86" s="255"/>
      <c r="J86" s="54"/>
      <c r="K86" s="69"/>
      <c r="L86" s="69"/>
      <c r="M86" s="528" t="s">
        <v>22</v>
      </c>
      <c r="N86" s="528"/>
      <c r="O86" s="528"/>
      <c r="P86" s="37">
        <f>SUM(P87:P88)</f>
        <v>1000000</v>
      </c>
      <c r="Q86" s="38" t="s">
        <v>23</v>
      </c>
    </row>
    <row r="87" spans="1:34" ht="15.95" customHeight="1">
      <c r="A87" s="227"/>
      <c r="B87" s="717"/>
      <c r="C87" s="561"/>
      <c r="D87" s="687"/>
      <c r="E87" s="690"/>
      <c r="F87" s="693"/>
      <c r="G87" s="720"/>
      <c r="H87" s="723"/>
      <c r="I87" s="278" t="s">
        <v>253</v>
      </c>
      <c r="J87" s="48">
        <v>300000</v>
      </c>
      <c r="K87" s="67" t="s">
        <v>23</v>
      </c>
      <c r="L87" s="47" t="s">
        <v>32</v>
      </c>
      <c r="M87" s="478">
        <v>1</v>
      </c>
      <c r="N87" s="478" t="s">
        <v>33</v>
      </c>
      <c r="O87" s="52" t="s">
        <v>34</v>
      </c>
      <c r="P87" s="48">
        <f>SUM(J87*M87)</f>
        <v>300000</v>
      </c>
      <c r="Q87" s="49" t="s">
        <v>23</v>
      </c>
    </row>
    <row r="88" spans="1:34" ht="15.95" customHeight="1">
      <c r="A88" s="227"/>
      <c r="B88" s="43"/>
      <c r="C88" s="562"/>
      <c r="D88" s="688"/>
      <c r="E88" s="691"/>
      <c r="F88" s="718"/>
      <c r="G88" s="721">
        <f>+E88-D88</f>
        <v>0</v>
      </c>
      <c r="H88" s="724" t="e">
        <f t="shared" ref="H88:H100" si="6">+G88/D88*100</f>
        <v>#DIV/0!</v>
      </c>
      <c r="I88" s="256" t="s">
        <v>254</v>
      </c>
      <c r="J88" s="295">
        <v>350000</v>
      </c>
      <c r="K88" s="245" t="s">
        <v>23</v>
      </c>
      <c r="L88" s="144" t="s">
        <v>111</v>
      </c>
      <c r="M88" s="143">
        <v>2</v>
      </c>
      <c r="N88" s="143" t="s">
        <v>33</v>
      </c>
      <c r="O88" s="145" t="s">
        <v>34</v>
      </c>
      <c r="P88" s="295">
        <f>SUM(J88*M88)</f>
        <v>700000</v>
      </c>
      <c r="Q88" s="146" t="s">
        <v>23</v>
      </c>
    </row>
    <row r="89" spans="1:34" ht="15.95" customHeight="1">
      <c r="A89" s="227"/>
      <c r="B89" s="43"/>
      <c r="C89" s="715" t="s">
        <v>255</v>
      </c>
      <c r="D89" s="648">
        <v>9300</v>
      </c>
      <c r="E89" s="650">
        <f>+P89/1000</f>
        <v>8100</v>
      </c>
      <c r="F89" s="635">
        <v>8000</v>
      </c>
      <c r="G89" s="652">
        <f>+E89-D89</f>
        <v>-1200</v>
      </c>
      <c r="H89" s="654">
        <f t="shared" si="6"/>
        <v>-12.903225806451612</v>
      </c>
      <c r="I89" s="239"/>
      <c r="J89" s="54"/>
      <c r="K89" s="69"/>
      <c r="L89" s="53"/>
      <c r="M89" s="528" t="s">
        <v>22</v>
      </c>
      <c r="N89" s="528"/>
      <c r="O89" s="528"/>
      <c r="P89" s="54">
        <f>SUM(P90:P93)</f>
        <v>8100000</v>
      </c>
      <c r="Q89" s="38" t="s">
        <v>14</v>
      </c>
    </row>
    <row r="90" spans="1:34" ht="15.95" customHeight="1">
      <c r="A90" s="227"/>
      <c r="B90" s="43"/>
      <c r="C90" s="716"/>
      <c r="D90" s="649"/>
      <c r="E90" s="651"/>
      <c r="F90" s="636"/>
      <c r="G90" s="653">
        <f>+E90-D90</f>
        <v>0</v>
      </c>
      <c r="H90" s="655" t="e">
        <f t="shared" si="6"/>
        <v>#DIV/0!</v>
      </c>
      <c r="I90" s="258" t="s">
        <v>256</v>
      </c>
      <c r="J90" s="48">
        <v>500000</v>
      </c>
      <c r="K90" s="67" t="s">
        <v>23</v>
      </c>
      <c r="L90" s="47" t="s">
        <v>111</v>
      </c>
      <c r="M90" s="478">
        <v>12</v>
      </c>
      <c r="N90" s="478" t="s">
        <v>33</v>
      </c>
      <c r="O90" s="52" t="s">
        <v>34</v>
      </c>
      <c r="P90" s="48">
        <f>SUM(J90*M90)</f>
        <v>6000000</v>
      </c>
      <c r="Q90" s="49" t="s">
        <v>23</v>
      </c>
    </row>
    <row r="91" spans="1:34" ht="15.95" customHeight="1">
      <c r="A91" s="227"/>
      <c r="B91" s="43"/>
      <c r="C91" s="716"/>
      <c r="D91" s="649"/>
      <c r="E91" s="651"/>
      <c r="F91" s="636"/>
      <c r="G91" s="653"/>
      <c r="H91" s="655"/>
      <c r="I91" s="258" t="s">
        <v>257</v>
      </c>
      <c r="J91" s="48">
        <v>100000</v>
      </c>
      <c r="K91" s="67" t="s">
        <v>23</v>
      </c>
      <c r="L91" s="47" t="s">
        <v>111</v>
      </c>
      <c r="M91" s="478">
        <v>1</v>
      </c>
      <c r="N91" s="478" t="s">
        <v>33</v>
      </c>
      <c r="O91" s="52" t="s">
        <v>34</v>
      </c>
      <c r="P91" s="48">
        <f>SUM(J91*M91)</f>
        <v>100000</v>
      </c>
      <c r="Q91" s="49" t="s">
        <v>23</v>
      </c>
    </row>
    <row r="92" spans="1:34" ht="15.95" customHeight="1">
      <c r="A92" s="227"/>
      <c r="B92" s="43"/>
      <c r="C92" s="716"/>
      <c r="D92" s="649"/>
      <c r="E92" s="651"/>
      <c r="F92" s="636"/>
      <c r="G92" s="653"/>
      <c r="H92" s="655"/>
      <c r="I92" s="258" t="s">
        <v>258</v>
      </c>
      <c r="J92" s="48">
        <v>0</v>
      </c>
      <c r="K92" s="67" t="s">
        <v>23</v>
      </c>
      <c r="L92" s="47" t="s">
        <v>111</v>
      </c>
      <c r="M92" s="478"/>
      <c r="N92" s="478" t="s">
        <v>33</v>
      </c>
      <c r="O92" s="52" t="s">
        <v>34</v>
      </c>
      <c r="P92" s="48">
        <f>SUM(J92*M92)</f>
        <v>0</v>
      </c>
      <c r="Q92" s="49" t="s">
        <v>23</v>
      </c>
    </row>
    <row r="93" spans="1:34" ht="15.95" customHeight="1">
      <c r="A93" s="227"/>
      <c r="B93" s="43"/>
      <c r="C93" s="716"/>
      <c r="D93" s="649"/>
      <c r="E93" s="651"/>
      <c r="F93" s="647"/>
      <c r="G93" s="653">
        <f t="shared" ref="G93:G100" si="7">+E93-D93</f>
        <v>0</v>
      </c>
      <c r="H93" s="655" t="e">
        <f t="shared" si="6"/>
        <v>#DIV/0!</v>
      </c>
      <c r="I93" s="258" t="s">
        <v>259</v>
      </c>
      <c r="J93" s="48">
        <v>2000000</v>
      </c>
      <c r="K93" s="67" t="s">
        <v>23</v>
      </c>
      <c r="L93" s="47" t="s">
        <v>111</v>
      </c>
      <c r="M93" s="478">
        <v>1</v>
      </c>
      <c r="N93" s="478" t="s">
        <v>33</v>
      </c>
      <c r="O93" s="52" t="s">
        <v>34</v>
      </c>
      <c r="P93" s="48">
        <f>SUM(J93*M93)</f>
        <v>2000000</v>
      </c>
      <c r="Q93" s="49" t="s">
        <v>23</v>
      </c>
    </row>
    <row r="94" spans="1:34" ht="15.95" customHeight="1">
      <c r="A94" s="227"/>
      <c r="B94" s="43"/>
      <c r="C94" s="534" t="s">
        <v>261</v>
      </c>
      <c r="D94" s="648">
        <v>50300</v>
      </c>
      <c r="E94" s="650">
        <f>+P94/1000</f>
        <v>50300</v>
      </c>
      <c r="F94" s="635">
        <v>50112</v>
      </c>
      <c r="G94" s="652">
        <f t="shared" si="7"/>
        <v>0</v>
      </c>
      <c r="H94" s="654">
        <f t="shared" si="6"/>
        <v>0</v>
      </c>
      <c r="I94" s="239"/>
      <c r="J94" s="54"/>
      <c r="K94" s="69"/>
      <c r="L94" s="53"/>
      <c r="M94" s="528" t="s">
        <v>22</v>
      </c>
      <c r="N94" s="528"/>
      <c r="O94" s="528"/>
      <c r="P94" s="54">
        <f>SUM(P95:P97)</f>
        <v>50300000</v>
      </c>
      <c r="Q94" s="38" t="s">
        <v>14</v>
      </c>
    </row>
    <row r="95" spans="1:34" ht="15.95" customHeight="1">
      <c r="A95" s="227"/>
      <c r="B95" s="43"/>
      <c r="C95" s="535"/>
      <c r="D95" s="649"/>
      <c r="E95" s="651"/>
      <c r="F95" s="636"/>
      <c r="G95" s="653">
        <f t="shared" si="7"/>
        <v>0</v>
      </c>
      <c r="H95" s="655" t="e">
        <f t="shared" si="6"/>
        <v>#DIV/0!</v>
      </c>
      <c r="I95" s="242" t="s">
        <v>262</v>
      </c>
      <c r="J95" s="48">
        <v>49800000</v>
      </c>
      <c r="K95" s="67" t="s">
        <v>23</v>
      </c>
      <c r="L95" s="47" t="s">
        <v>111</v>
      </c>
      <c r="M95" s="478">
        <v>1</v>
      </c>
      <c r="N95" s="478" t="s">
        <v>33</v>
      </c>
      <c r="O95" s="478" t="s">
        <v>34</v>
      </c>
      <c r="P95" s="48">
        <f>J95*M95</f>
        <v>49800000</v>
      </c>
      <c r="Q95" s="49" t="s">
        <v>23</v>
      </c>
    </row>
    <row r="96" spans="1:34" ht="15.95" customHeight="1">
      <c r="A96" s="227"/>
      <c r="B96" s="43"/>
      <c r="C96" s="535"/>
      <c r="D96" s="649"/>
      <c r="E96" s="651"/>
      <c r="F96" s="636"/>
      <c r="G96" s="653"/>
      <c r="H96" s="655"/>
      <c r="I96" s="242" t="s">
        <v>263</v>
      </c>
      <c r="J96" s="48">
        <v>30000</v>
      </c>
      <c r="K96" s="67" t="s">
        <v>14</v>
      </c>
      <c r="L96" s="47" t="s">
        <v>111</v>
      </c>
      <c r="M96" s="478">
        <v>10</v>
      </c>
      <c r="N96" s="478" t="s">
        <v>33</v>
      </c>
      <c r="O96" s="478" t="s">
        <v>34</v>
      </c>
      <c r="P96" s="48">
        <f>J96*M96</f>
        <v>300000</v>
      </c>
      <c r="Q96" s="49" t="s">
        <v>23</v>
      </c>
    </row>
    <row r="97" spans="1:33" ht="15.95" customHeight="1">
      <c r="A97" s="227"/>
      <c r="B97" s="43"/>
      <c r="C97" s="535"/>
      <c r="D97" s="649"/>
      <c r="E97" s="651"/>
      <c r="F97" s="636"/>
      <c r="G97" s="653">
        <f t="shared" si="7"/>
        <v>0</v>
      </c>
      <c r="H97" s="655" t="e">
        <f t="shared" si="6"/>
        <v>#DIV/0!</v>
      </c>
      <c r="I97" s="475" t="s">
        <v>264</v>
      </c>
      <c r="J97" s="72">
        <v>200000</v>
      </c>
      <c r="K97" s="107" t="s">
        <v>23</v>
      </c>
      <c r="L97" s="74" t="s">
        <v>265</v>
      </c>
      <c r="M97" s="73">
        <v>1</v>
      </c>
      <c r="N97" s="73" t="s">
        <v>33</v>
      </c>
      <c r="O97" s="75" t="s">
        <v>34</v>
      </c>
      <c r="P97" s="72">
        <f>SUM(J97*M97)</f>
        <v>200000</v>
      </c>
      <c r="Q97" s="76" t="s">
        <v>23</v>
      </c>
    </row>
    <row r="98" spans="1:33" ht="15.95" customHeight="1">
      <c r="A98" s="227"/>
      <c r="B98" s="296"/>
      <c r="C98" s="534" t="s">
        <v>266</v>
      </c>
      <c r="D98" s="648">
        <v>50000</v>
      </c>
      <c r="E98" s="650">
        <f>+P98/1000</f>
        <v>46780</v>
      </c>
      <c r="F98" s="635">
        <v>0</v>
      </c>
      <c r="G98" s="652">
        <f t="shared" si="7"/>
        <v>-3220</v>
      </c>
      <c r="H98" s="654">
        <f t="shared" si="6"/>
        <v>-6.4399999999999995</v>
      </c>
      <c r="I98" s="255"/>
      <c r="J98" s="54"/>
      <c r="K98" s="69"/>
      <c r="L98" s="53"/>
      <c r="M98" s="528" t="s">
        <v>22</v>
      </c>
      <c r="N98" s="528"/>
      <c r="O98" s="528"/>
      <c r="P98" s="54">
        <f>SUM(P99)</f>
        <v>46780000</v>
      </c>
      <c r="Q98" s="38" t="s">
        <v>14</v>
      </c>
    </row>
    <row r="99" spans="1:33" ht="15.95" customHeight="1" thickBot="1">
      <c r="A99" s="227"/>
      <c r="B99" s="189"/>
      <c r="C99" s="535"/>
      <c r="D99" s="710"/>
      <c r="E99" s="711"/>
      <c r="F99" s="712"/>
      <c r="G99" s="713">
        <f t="shared" si="7"/>
        <v>0</v>
      </c>
      <c r="H99" s="714" t="e">
        <f t="shared" si="6"/>
        <v>#DIV/0!</v>
      </c>
      <c r="I99" s="518" t="s">
        <v>267</v>
      </c>
      <c r="J99" s="414">
        <v>46780000</v>
      </c>
      <c r="K99" s="415" t="s">
        <v>23</v>
      </c>
      <c r="L99" s="193" t="s">
        <v>32</v>
      </c>
      <c r="M99" s="192">
        <v>1</v>
      </c>
      <c r="N99" s="192" t="s">
        <v>33</v>
      </c>
      <c r="O99" s="194" t="s">
        <v>34</v>
      </c>
      <c r="P99" s="414">
        <f>SUM(J99*M99)</f>
        <v>46780000</v>
      </c>
      <c r="Q99" s="195" t="s">
        <v>23</v>
      </c>
    </row>
    <row r="100" spans="1:33" ht="20.100000000000001" customHeight="1">
      <c r="A100" s="227" t="s">
        <v>2</v>
      </c>
      <c r="B100" s="487" t="s">
        <v>268</v>
      </c>
      <c r="C100" s="297" t="s">
        <v>269</v>
      </c>
      <c r="D100" s="298">
        <f>SUM(D101:D119)</f>
        <v>232162</v>
      </c>
      <c r="E100" s="299">
        <f>SUM(E101:E119)</f>
        <v>231484.788</v>
      </c>
      <c r="F100" s="300">
        <f>SUM(F101:F119)</f>
        <v>204642</v>
      </c>
      <c r="G100" s="301">
        <f t="shared" si="7"/>
        <v>-677.21199999999953</v>
      </c>
      <c r="H100" s="302">
        <f t="shared" si="6"/>
        <v>-0.29169803843867625</v>
      </c>
      <c r="I100" s="258"/>
      <c r="J100" s="51"/>
      <c r="K100" s="67"/>
      <c r="L100" s="67"/>
      <c r="M100" s="582"/>
      <c r="N100" s="582"/>
      <c r="O100" s="582"/>
      <c r="P100" s="68">
        <f>SUM(P101,P104,P107,P112,P115,P116,P119)</f>
        <v>231484788</v>
      </c>
      <c r="Q100" s="49" t="s">
        <v>14</v>
      </c>
    </row>
    <row r="101" spans="1:33" ht="15.75" customHeight="1">
      <c r="A101" s="227"/>
      <c r="B101" s="487" t="s">
        <v>270</v>
      </c>
      <c r="C101" s="549" t="s">
        <v>271</v>
      </c>
      <c r="D101" s="648">
        <v>99842</v>
      </c>
      <c r="E101" s="650">
        <f>+P101/1000</f>
        <v>99864.788</v>
      </c>
      <c r="F101" s="635">
        <v>43490</v>
      </c>
      <c r="G101" s="652">
        <f>+E101-D101</f>
        <v>22.788000000000466</v>
      </c>
      <c r="H101" s="654">
        <f>+G101/D101*100</f>
        <v>2.2824062017988887E-2</v>
      </c>
      <c r="I101" s="239"/>
      <c r="J101" s="54"/>
      <c r="K101" s="69"/>
      <c r="L101" s="53"/>
      <c r="M101" s="528" t="s">
        <v>22</v>
      </c>
      <c r="N101" s="528"/>
      <c r="O101" s="528"/>
      <c r="P101" s="37">
        <f>SUM(P102:P103)</f>
        <v>99864788</v>
      </c>
      <c r="Q101" s="38" t="s">
        <v>23</v>
      </c>
    </row>
    <row r="102" spans="1:33" ht="15.75" customHeight="1">
      <c r="A102" s="227"/>
      <c r="B102" s="43"/>
      <c r="C102" s="550"/>
      <c r="D102" s="649"/>
      <c r="E102" s="651"/>
      <c r="F102" s="636"/>
      <c r="G102" s="653"/>
      <c r="H102" s="655"/>
      <c r="I102" s="242" t="s">
        <v>272</v>
      </c>
      <c r="J102" s="72">
        <v>3133388</v>
      </c>
      <c r="K102" s="67" t="s">
        <v>23</v>
      </c>
      <c r="L102" s="47" t="s">
        <v>32</v>
      </c>
      <c r="M102" s="478">
        <v>9</v>
      </c>
      <c r="N102" s="478" t="s">
        <v>87</v>
      </c>
      <c r="O102" s="52" t="s">
        <v>34</v>
      </c>
      <c r="P102" s="109">
        <f>SUM(J102*M102)-4</f>
        <v>28200488</v>
      </c>
      <c r="Q102" s="49" t="s">
        <v>14</v>
      </c>
    </row>
    <row r="103" spans="1:33" ht="15.75" customHeight="1">
      <c r="A103" s="227"/>
      <c r="B103" s="43"/>
      <c r="C103" s="551"/>
      <c r="D103" s="657"/>
      <c r="E103" s="658"/>
      <c r="F103" s="490"/>
      <c r="G103" s="659"/>
      <c r="H103" s="660"/>
      <c r="I103" s="258" t="s">
        <v>273</v>
      </c>
      <c r="J103" s="72">
        <v>17916075</v>
      </c>
      <c r="K103" s="67" t="s">
        <v>23</v>
      </c>
      <c r="L103" s="47" t="s">
        <v>32</v>
      </c>
      <c r="M103" s="478">
        <v>4</v>
      </c>
      <c r="N103" s="478" t="s">
        <v>42</v>
      </c>
      <c r="O103" s="52" t="s">
        <v>34</v>
      </c>
      <c r="P103" s="109">
        <f>SUM(J103*M103)</f>
        <v>71664300</v>
      </c>
      <c r="Q103" s="49" t="s">
        <v>14</v>
      </c>
    </row>
    <row r="104" spans="1:33" ht="15.75" customHeight="1">
      <c r="A104" s="227"/>
      <c r="B104" s="43"/>
      <c r="C104" s="549" t="s">
        <v>274</v>
      </c>
      <c r="D104" s="648">
        <v>57630</v>
      </c>
      <c r="E104" s="650">
        <f>+P104/1000</f>
        <v>57630</v>
      </c>
      <c r="F104" s="635">
        <v>96000</v>
      </c>
      <c r="G104" s="652">
        <f>+E104-D104</f>
        <v>0</v>
      </c>
      <c r="H104" s="654">
        <f>+G104/D104*100</f>
        <v>0</v>
      </c>
      <c r="I104" s="255"/>
      <c r="J104" s="54"/>
      <c r="K104" s="69"/>
      <c r="L104" s="53"/>
      <c r="M104" s="528" t="s">
        <v>22</v>
      </c>
      <c r="N104" s="528"/>
      <c r="O104" s="528"/>
      <c r="P104" s="37">
        <f>SUM(P105:P106)</f>
        <v>57630000</v>
      </c>
      <c r="Q104" s="38" t="s">
        <v>23</v>
      </c>
    </row>
    <row r="105" spans="1:33" ht="15.75" customHeight="1">
      <c r="A105" s="227"/>
      <c r="B105" s="43"/>
      <c r="C105" s="550"/>
      <c r="D105" s="649"/>
      <c r="E105" s="651"/>
      <c r="F105" s="636"/>
      <c r="G105" s="653"/>
      <c r="H105" s="655"/>
      <c r="I105" s="258" t="s">
        <v>275</v>
      </c>
      <c r="J105" s="48">
        <v>10000</v>
      </c>
      <c r="K105" s="67" t="s">
        <v>14</v>
      </c>
      <c r="L105" s="47" t="s">
        <v>32</v>
      </c>
      <c r="M105" s="478">
        <v>3</v>
      </c>
      <c r="N105" s="478" t="s">
        <v>42</v>
      </c>
      <c r="O105" s="478" t="s">
        <v>27</v>
      </c>
      <c r="P105" s="68">
        <f>SUM(J105*M105)</f>
        <v>30000</v>
      </c>
      <c r="Q105" s="49" t="s">
        <v>14</v>
      </c>
    </row>
    <row r="106" spans="1:33" ht="15.75" customHeight="1">
      <c r="A106" s="227"/>
      <c r="B106" s="43"/>
      <c r="C106" s="551"/>
      <c r="D106" s="657"/>
      <c r="E106" s="658"/>
      <c r="F106" s="647"/>
      <c r="G106" s="659"/>
      <c r="H106" s="660"/>
      <c r="I106" s="303" t="s">
        <v>276</v>
      </c>
      <c r="J106" s="304">
        <v>14400000</v>
      </c>
      <c r="K106" s="305" t="s">
        <v>23</v>
      </c>
      <c r="L106" s="306" t="s">
        <v>32</v>
      </c>
      <c r="M106" s="307">
        <v>4</v>
      </c>
      <c r="N106" s="307" t="s">
        <v>33</v>
      </c>
      <c r="O106" s="308" t="s">
        <v>34</v>
      </c>
      <c r="P106" s="304">
        <f>SUM(J106*M106)</f>
        <v>57600000</v>
      </c>
      <c r="Q106" s="309" t="s">
        <v>23</v>
      </c>
      <c r="AG106" s="206" t="s">
        <v>47</v>
      </c>
    </row>
    <row r="107" spans="1:33" ht="15.75" customHeight="1">
      <c r="A107" s="227"/>
      <c r="B107" s="43"/>
      <c r="C107" s="569" t="s">
        <v>277</v>
      </c>
      <c r="D107" s="706">
        <v>13630</v>
      </c>
      <c r="E107" s="707">
        <f>+P107/1000</f>
        <v>12930</v>
      </c>
      <c r="F107" s="708">
        <v>11052</v>
      </c>
      <c r="G107" s="669">
        <f t="shared" ref="G107:G119" si="8">+E107-D107</f>
        <v>-700</v>
      </c>
      <c r="H107" s="709">
        <f t="shared" ref="H107:H119" si="9">+G107/D107*100</f>
        <v>-5.1357300073367567</v>
      </c>
      <c r="I107" s="239"/>
      <c r="J107" s="54"/>
      <c r="K107" s="69"/>
      <c r="L107" s="53"/>
      <c r="M107" s="528" t="s">
        <v>22</v>
      </c>
      <c r="N107" s="528"/>
      <c r="O107" s="528"/>
      <c r="P107" s="54">
        <f>SUM(P108:P111)</f>
        <v>12930000</v>
      </c>
      <c r="Q107" s="38" t="s">
        <v>14</v>
      </c>
    </row>
    <row r="108" spans="1:33" ht="15.75" customHeight="1">
      <c r="A108" s="227"/>
      <c r="B108" s="43"/>
      <c r="C108" s="569"/>
      <c r="D108" s="706"/>
      <c r="E108" s="707"/>
      <c r="F108" s="708"/>
      <c r="G108" s="669">
        <f t="shared" si="8"/>
        <v>0</v>
      </c>
      <c r="H108" s="709" t="e">
        <f t="shared" si="9"/>
        <v>#DIV/0!</v>
      </c>
      <c r="I108" s="242" t="s">
        <v>278</v>
      </c>
      <c r="J108" s="48">
        <v>10000</v>
      </c>
      <c r="K108" s="67" t="s">
        <v>23</v>
      </c>
      <c r="L108" s="47" t="s">
        <v>265</v>
      </c>
      <c r="M108" s="478">
        <v>3</v>
      </c>
      <c r="N108" s="478" t="s">
        <v>33</v>
      </c>
      <c r="O108" s="478" t="s">
        <v>34</v>
      </c>
      <c r="P108" s="48">
        <f>SUM(J108*M108)</f>
        <v>30000</v>
      </c>
      <c r="Q108" s="49" t="s">
        <v>23</v>
      </c>
    </row>
    <row r="109" spans="1:33" ht="15.75" customHeight="1">
      <c r="A109" s="227"/>
      <c r="B109" s="43"/>
      <c r="C109" s="569"/>
      <c r="D109" s="706"/>
      <c r="E109" s="707"/>
      <c r="F109" s="708"/>
      <c r="G109" s="669"/>
      <c r="H109" s="709"/>
      <c r="I109" s="242" t="s">
        <v>279</v>
      </c>
      <c r="J109" s="48">
        <v>1300000</v>
      </c>
      <c r="K109" s="67" t="s">
        <v>23</v>
      </c>
      <c r="L109" s="47" t="s">
        <v>32</v>
      </c>
      <c r="M109" s="478">
        <v>2</v>
      </c>
      <c r="N109" s="478" t="s">
        <v>33</v>
      </c>
      <c r="O109" s="478" t="s">
        <v>34</v>
      </c>
      <c r="P109" s="48">
        <f>SUM(J109*M109)</f>
        <v>2600000</v>
      </c>
      <c r="Q109" s="49" t="s">
        <v>23</v>
      </c>
    </row>
    <row r="110" spans="1:33" ht="15.75" customHeight="1">
      <c r="A110" s="227"/>
      <c r="B110" s="43"/>
      <c r="C110" s="569"/>
      <c r="D110" s="706"/>
      <c r="E110" s="707"/>
      <c r="F110" s="708"/>
      <c r="G110" s="669"/>
      <c r="H110" s="709"/>
      <c r="I110" s="242" t="s">
        <v>280</v>
      </c>
      <c r="J110" s="48">
        <v>1100000</v>
      </c>
      <c r="K110" s="67" t="s">
        <v>14</v>
      </c>
      <c r="L110" s="47" t="s">
        <v>32</v>
      </c>
      <c r="M110" s="478">
        <v>3</v>
      </c>
      <c r="N110" s="478" t="s">
        <v>33</v>
      </c>
      <c r="O110" s="478"/>
      <c r="P110" s="48">
        <f>SUM(J110*M110)</f>
        <v>3300000</v>
      </c>
      <c r="Q110" s="49" t="s">
        <v>23</v>
      </c>
    </row>
    <row r="111" spans="1:33" ht="15.75" customHeight="1">
      <c r="A111" s="227"/>
      <c r="B111" s="43"/>
      <c r="C111" s="569"/>
      <c r="D111" s="706"/>
      <c r="E111" s="707"/>
      <c r="F111" s="708"/>
      <c r="G111" s="669">
        <f t="shared" si="8"/>
        <v>0</v>
      </c>
      <c r="H111" s="709" t="e">
        <f t="shared" si="9"/>
        <v>#DIV/0!</v>
      </c>
      <c r="I111" s="238" t="s">
        <v>281</v>
      </c>
      <c r="J111" s="295">
        <v>1000000</v>
      </c>
      <c r="K111" s="245" t="s">
        <v>23</v>
      </c>
      <c r="L111" s="144" t="s">
        <v>32</v>
      </c>
      <c r="M111" s="143">
        <v>7</v>
      </c>
      <c r="N111" s="143" t="s">
        <v>33</v>
      </c>
      <c r="O111" s="143" t="s">
        <v>34</v>
      </c>
      <c r="P111" s="295">
        <f>SUM(J111*M111)</f>
        <v>7000000</v>
      </c>
      <c r="Q111" s="146" t="s">
        <v>23</v>
      </c>
    </row>
    <row r="112" spans="1:33" ht="15.95" customHeight="1">
      <c r="A112" s="282" t="s">
        <v>250</v>
      </c>
      <c r="B112" s="487" t="s">
        <v>268</v>
      </c>
      <c r="C112" s="569" t="s">
        <v>282</v>
      </c>
      <c r="D112" s="706">
        <v>18030</v>
      </c>
      <c r="E112" s="707">
        <f>+P112/1000</f>
        <v>18030</v>
      </c>
      <c r="F112" s="708">
        <v>20000</v>
      </c>
      <c r="G112" s="669">
        <f t="shared" si="8"/>
        <v>0</v>
      </c>
      <c r="H112" s="709">
        <f t="shared" si="9"/>
        <v>0</v>
      </c>
      <c r="I112" s="239"/>
      <c r="J112" s="54"/>
      <c r="K112" s="69"/>
      <c r="L112" s="53"/>
      <c r="M112" s="528" t="s">
        <v>22</v>
      </c>
      <c r="N112" s="528"/>
      <c r="O112" s="528"/>
      <c r="P112" s="54">
        <f>SUM(P113:P114)</f>
        <v>18030000</v>
      </c>
      <c r="Q112" s="38" t="s">
        <v>14</v>
      </c>
    </row>
    <row r="113" spans="1:17" ht="15.95" customHeight="1">
      <c r="A113" s="227"/>
      <c r="B113" s="487" t="s">
        <v>270</v>
      </c>
      <c r="C113" s="569"/>
      <c r="D113" s="706"/>
      <c r="E113" s="707"/>
      <c r="F113" s="708"/>
      <c r="G113" s="669">
        <f t="shared" si="8"/>
        <v>0</v>
      </c>
      <c r="H113" s="709" t="e">
        <f t="shared" si="9"/>
        <v>#DIV/0!</v>
      </c>
      <c r="I113" s="242" t="s">
        <v>283</v>
      </c>
      <c r="J113" s="48">
        <v>10000</v>
      </c>
      <c r="K113" s="67" t="s">
        <v>23</v>
      </c>
      <c r="L113" s="47" t="s">
        <v>32</v>
      </c>
      <c r="M113" s="478">
        <v>3</v>
      </c>
      <c r="N113" s="478" t="s">
        <v>33</v>
      </c>
      <c r="O113" s="52" t="s">
        <v>34</v>
      </c>
      <c r="P113" s="48">
        <f>SUM(J113*M113)</f>
        <v>30000</v>
      </c>
      <c r="Q113" s="49" t="s">
        <v>23</v>
      </c>
    </row>
    <row r="114" spans="1:17" ht="15.95" customHeight="1">
      <c r="A114" s="227"/>
      <c r="B114" s="310"/>
      <c r="C114" s="569"/>
      <c r="D114" s="706"/>
      <c r="E114" s="707"/>
      <c r="F114" s="708"/>
      <c r="G114" s="669"/>
      <c r="H114" s="709"/>
      <c r="I114" s="242" t="s">
        <v>284</v>
      </c>
      <c r="J114" s="48">
        <v>9000000</v>
      </c>
      <c r="K114" s="67" t="s">
        <v>23</v>
      </c>
      <c r="L114" s="47" t="s">
        <v>32</v>
      </c>
      <c r="M114" s="478">
        <v>2</v>
      </c>
      <c r="N114" s="478" t="s">
        <v>33</v>
      </c>
      <c r="O114" s="52" t="s">
        <v>34</v>
      </c>
      <c r="P114" s="48">
        <f>SUM(J114*M114)</f>
        <v>18000000</v>
      </c>
      <c r="Q114" s="49" t="s">
        <v>23</v>
      </c>
    </row>
    <row r="115" spans="1:17" ht="18.75" customHeight="1">
      <c r="A115" s="227"/>
      <c r="B115" s="43"/>
      <c r="C115" s="493" t="s">
        <v>285</v>
      </c>
      <c r="D115" s="311">
        <v>24000</v>
      </c>
      <c r="E115" s="312">
        <f>+P115/1000</f>
        <v>24000</v>
      </c>
      <c r="F115" s="313">
        <v>16000</v>
      </c>
      <c r="G115" s="495">
        <f t="shared" si="8"/>
        <v>0</v>
      </c>
      <c r="H115" s="499">
        <f t="shared" si="9"/>
        <v>0</v>
      </c>
      <c r="I115" s="294" t="s">
        <v>284</v>
      </c>
      <c r="J115" s="171">
        <v>6000000</v>
      </c>
      <c r="K115" s="61" t="s">
        <v>23</v>
      </c>
      <c r="L115" s="169" t="s">
        <v>32</v>
      </c>
      <c r="M115" s="459">
        <v>4</v>
      </c>
      <c r="N115" s="459" t="s">
        <v>33</v>
      </c>
      <c r="O115" s="170" t="s">
        <v>34</v>
      </c>
      <c r="P115" s="171">
        <f>SUM(J115*M115)</f>
        <v>24000000</v>
      </c>
      <c r="Q115" s="98" t="s">
        <v>23</v>
      </c>
    </row>
    <row r="116" spans="1:17" ht="15.95" customHeight="1">
      <c r="A116" s="227"/>
      <c r="B116" s="43"/>
      <c r="C116" s="534" t="s">
        <v>286</v>
      </c>
      <c r="D116" s="648">
        <v>18030</v>
      </c>
      <c r="E116" s="650">
        <f>+P116/1000</f>
        <v>18030</v>
      </c>
      <c r="F116" s="635">
        <v>18100</v>
      </c>
      <c r="G116" s="652">
        <f t="shared" si="8"/>
        <v>0</v>
      </c>
      <c r="H116" s="654">
        <f t="shared" si="9"/>
        <v>0</v>
      </c>
      <c r="I116" s="255"/>
      <c r="J116" s="54"/>
      <c r="K116" s="69"/>
      <c r="L116" s="53"/>
      <c r="M116" s="528" t="s">
        <v>22</v>
      </c>
      <c r="N116" s="528"/>
      <c r="O116" s="528"/>
      <c r="P116" s="54">
        <f>SUM(P117:P118)</f>
        <v>18030000</v>
      </c>
      <c r="Q116" s="38" t="s">
        <v>14</v>
      </c>
    </row>
    <row r="117" spans="1:17" ht="15.95" customHeight="1">
      <c r="A117" s="227"/>
      <c r="B117" s="43"/>
      <c r="C117" s="535"/>
      <c r="D117" s="649"/>
      <c r="E117" s="651"/>
      <c r="F117" s="636"/>
      <c r="G117" s="653">
        <f t="shared" si="8"/>
        <v>0</v>
      </c>
      <c r="H117" s="655" t="e">
        <f t="shared" si="9"/>
        <v>#DIV/0!</v>
      </c>
      <c r="I117" s="258" t="s">
        <v>283</v>
      </c>
      <c r="J117" s="48">
        <v>10000</v>
      </c>
      <c r="K117" s="67" t="s">
        <v>23</v>
      </c>
      <c r="L117" s="47" t="s">
        <v>32</v>
      </c>
      <c r="M117" s="478">
        <v>3</v>
      </c>
      <c r="N117" s="478" t="s">
        <v>33</v>
      </c>
      <c r="O117" s="52" t="s">
        <v>34</v>
      </c>
      <c r="P117" s="48">
        <f>SUM(J117*M117)</f>
        <v>30000</v>
      </c>
      <c r="Q117" s="49" t="s">
        <v>23</v>
      </c>
    </row>
    <row r="118" spans="1:17" ht="15.95" customHeight="1">
      <c r="A118" s="227"/>
      <c r="B118" s="43"/>
      <c r="C118" s="661"/>
      <c r="D118" s="657"/>
      <c r="E118" s="658"/>
      <c r="F118" s="647"/>
      <c r="G118" s="659">
        <f t="shared" si="8"/>
        <v>0</v>
      </c>
      <c r="H118" s="660" t="e">
        <f t="shared" si="9"/>
        <v>#DIV/0!</v>
      </c>
      <c r="I118" s="256" t="s">
        <v>276</v>
      </c>
      <c r="J118" s="295">
        <v>4500000</v>
      </c>
      <c r="K118" s="245" t="s">
        <v>23</v>
      </c>
      <c r="L118" s="144" t="s">
        <v>32</v>
      </c>
      <c r="M118" s="143">
        <v>4</v>
      </c>
      <c r="N118" s="143" t="s">
        <v>33</v>
      </c>
      <c r="O118" s="145" t="s">
        <v>34</v>
      </c>
      <c r="P118" s="295">
        <f>SUM(J118*M118)</f>
        <v>18000000</v>
      </c>
      <c r="Q118" s="146" t="s">
        <v>23</v>
      </c>
    </row>
    <row r="119" spans="1:17" ht="15.95" customHeight="1">
      <c r="A119" s="227"/>
      <c r="B119" s="43"/>
      <c r="C119" s="549" t="s">
        <v>287</v>
      </c>
      <c r="D119" s="648">
        <v>1000</v>
      </c>
      <c r="E119" s="650">
        <f>+P119/1000</f>
        <v>1000</v>
      </c>
      <c r="F119" s="635">
        <v>0</v>
      </c>
      <c r="G119" s="652">
        <f t="shared" si="8"/>
        <v>0</v>
      </c>
      <c r="H119" s="654">
        <f t="shared" si="9"/>
        <v>0</v>
      </c>
      <c r="I119" s="255"/>
      <c r="J119" s="54"/>
      <c r="K119" s="69"/>
      <c r="L119" s="53"/>
      <c r="M119" s="528" t="s">
        <v>22</v>
      </c>
      <c r="N119" s="528"/>
      <c r="O119" s="528"/>
      <c r="P119" s="54">
        <f>SUM(P120:P120)</f>
        <v>1000000</v>
      </c>
      <c r="Q119" s="38" t="s">
        <v>14</v>
      </c>
    </row>
    <row r="120" spans="1:17" ht="15.95" customHeight="1">
      <c r="A120" s="227"/>
      <c r="B120" s="43"/>
      <c r="C120" s="550"/>
      <c r="D120" s="649"/>
      <c r="E120" s="651"/>
      <c r="F120" s="636"/>
      <c r="G120" s="653"/>
      <c r="H120" s="655"/>
      <c r="I120" s="258" t="s">
        <v>288</v>
      </c>
      <c r="J120" s="48">
        <v>1000000</v>
      </c>
      <c r="K120" s="67" t="s">
        <v>23</v>
      </c>
      <c r="L120" s="47" t="s">
        <v>32</v>
      </c>
      <c r="M120" s="478">
        <v>1</v>
      </c>
      <c r="N120" s="478" t="s">
        <v>33</v>
      </c>
      <c r="O120" s="52" t="s">
        <v>34</v>
      </c>
      <c r="P120" s="48">
        <f>SUM(J120*M120)</f>
        <v>1000000</v>
      </c>
      <c r="Q120" s="49" t="s">
        <v>23</v>
      </c>
    </row>
    <row r="121" spans="1:17" ht="20.100000000000001" customHeight="1">
      <c r="A121" s="227"/>
      <c r="B121" s="702" t="s">
        <v>289</v>
      </c>
      <c r="C121" s="90" t="s">
        <v>19</v>
      </c>
      <c r="D121" s="500">
        <f>SUM(D122:D134)</f>
        <v>35350</v>
      </c>
      <c r="E121" s="501">
        <f>SUM(E122:E135)</f>
        <v>31688.42</v>
      </c>
      <c r="F121" s="498">
        <f>SUM(F122:F134)</f>
        <v>38323</v>
      </c>
      <c r="G121" s="502">
        <f t="shared" ref="G121:G129" si="10">+E121-D121</f>
        <v>-3661.5800000000017</v>
      </c>
      <c r="H121" s="503">
        <f t="shared" ref="H121:H135" si="11">+G121/D121*100</f>
        <v>-10.358076379066484</v>
      </c>
      <c r="I121" s="294"/>
      <c r="J121" s="168"/>
      <c r="K121" s="61"/>
      <c r="L121" s="169"/>
      <c r="M121" s="459"/>
      <c r="N121" s="459"/>
      <c r="O121" s="170"/>
      <c r="P121" s="168">
        <f>SUM(P122,P127,P130,P132,P134)</f>
        <v>31688420</v>
      </c>
      <c r="Q121" s="98" t="s">
        <v>14</v>
      </c>
    </row>
    <row r="122" spans="1:17" ht="15.95" customHeight="1">
      <c r="A122" s="227"/>
      <c r="B122" s="703"/>
      <c r="C122" s="560" t="s">
        <v>290</v>
      </c>
      <c r="D122" s="648">
        <v>30000</v>
      </c>
      <c r="E122" s="650">
        <f>+P122/1000</f>
        <v>27138.42</v>
      </c>
      <c r="F122" s="635">
        <v>20544</v>
      </c>
      <c r="G122" s="652">
        <f t="shared" si="10"/>
        <v>-2861.5800000000017</v>
      </c>
      <c r="H122" s="699">
        <f>+G122/D122*100</f>
        <v>-9.538600000000006</v>
      </c>
      <c r="I122" s="258"/>
      <c r="J122" s="48"/>
      <c r="K122" s="67"/>
      <c r="L122" s="67"/>
      <c r="M122" s="582" t="s">
        <v>22</v>
      </c>
      <c r="N122" s="582"/>
      <c r="O122" s="582"/>
      <c r="P122" s="68">
        <f>SUM(P123:P126)</f>
        <v>27138420</v>
      </c>
      <c r="Q122" s="49" t="s">
        <v>23</v>
      </c>
    </row>
    <row r="123" spans="1:17" ht="15.95" customHeight="1">
      <c r="A123" s="227"/>
      <c r="B123" s="703"/>
      <c r="C123" s="704"/>
      <c r="D123" s="649"/>
      <c r="E123" s="651"/>
      <c r="F123" s="636"/>
      <c r="G123" s="653">
        <f t="shared" si="10"/>
        <v>0</v>
      </c>
      <c r="H123" s="705" t="e">
        <f t="shared" si="11"/>
        <v>#DIV/0!</v>
      </c>
      <c r="I123" s="278" t="s">
        <v>291</v>
      </c>
      <c r="J123" s="48">
        <v>200000</v>
      </c>
      <c r="K123" s="67" t="s">
        <v>23</v>
      </c>
      <c r="L123" s="47" t="s">
        <v>32</v>
      </c>
      <c r="M123" s="478">
        <v>2</v>
      </c>
      <c r="N123" s="478" t="s">
        <v>33</v>
      </c>
      <c r="O123" s="52" t="s">
        <v>34</v>
      </c>
      <c r="P123" s="48">
        <f>SUM(J123*M123)</f>
        <v>400000</v>
      </c>
      <c r="Q123" s="49" t="s">
        <v>23</v>
      </c>
    </row>
    <row r="124" spans="1:17" ht="15.95" customHeight="1">
      <c r="A124" s="227"/>
      <c r="B124" s="43"/>
      <c r="C124" s="704"/>
      <c r="D124" s="649"/>
      <c r="E124" s="651"/>
      <c r="F124" s="636"/>
      <c r="G124" s="653">
        <f t="shared" si="10"/>
        <v>0</v>
      </c>
      <c r="H124" s="705" t="e">
        <f t="shared" si="11"/>
        <v>#DIV/0!</v>
      </c>
      <c r="I124" s="278" t="s">
        <v>292</v>
      </c>
      <c r="J124" s="48">
        <v>2391850</v>
      </c>
      <c r="K124" s="67" t="s">
        <v>23</v>
      </c>
      <c r="L124" s="47" t="s">
        <v>32</v>
      </c>
      <c r="M124" s="478">
        <v>1</v>
      </c>
      <c r="N124" s="478" t="s">
        <v>33</v>
      </c>
      <c r="O124" s="52" t="s">
        <v>34</v>
      </c>
      <c r="P124" s="48">
        <f>SUM(J124*M124)</f>
        <v>2391850</v>
      </c>
      <c r="Q124" s="49" t="s">
        <v>23</v>
      </c>
    </row>
    <row r="125" spans="1:17" ht="15.95" customHeight="1">
      <c r="A125" s="227"/>
      <c r="B125" s="43"/>
      <c r="C125" s="704"/>
      <c r="D125" s="649"/>
      <c r="E125" s="651"/>
      <c r="F125" s="636"/>
      <c r="G125" s="653">
        <f t="shared" si="10"/>
        <v>0</v>
      </c>
      <c r="H125" s="705" t="e">
        <f t="shared" si="11"/>
        <v>#DIV/0!</v>
      </c>
      <c r="I125" s="258" t="s">
        <v>293</v>
      </c>
      <c r="J125" s="48">
        <v>24056570</v>
      </c>
      <c r="K125" s="67" t="s">
        <v>23</v>
      </c>
      <c r="L125" s="47" t="s">
        <v>32</v>
      </c>
      <c r="M125" s="478">
        <v>1</v>
      </c>
      <c r="N125" s="478" t="s">
        <v>33</v>
      </c>
      <c r="O125" s="52" t="s">
        <v>34</v>
      </c>
      <c r="P125" s="48">
        <f>SUM(J125*M125)</f>
        <v>24056570</v>
      </c>
      <c r="Q125" s="49" t="s">
        <v>23</v>
      </c>
    </row>
    <row r="126" spans="1:17" ht="15.95" customHeight="1">
      <c r="A126" s="227"/>
      <c r="B126" s="43" t="s">
        <v>2</v>
      </c>
      <c r="C126" s="704"/>
      <c r="D126" s="649"/>
      <c r="E126" s="651"/>
      <c r="F126" s="647"/>
      <c r="G126" s="653">
        <f t="shared" si="10"/>
        <v>0</v>
      </c>
      <c r="H126" s="705" t="e">
        <f t="shared" si="11"/>
        <v>#DIV/0!</v>
      </c>
      <c r="I126" s="256" t="s">
        <v>294</v>
      </c>
      <c r="J126" s="295">
        <v>290000</v>
      </c>
      <c r="K126" s="245" t="s">
        <v>23</v>
      </c>
      <c r="L126" s="144" t="s">
        <v>32</v>
      </c>
      <c r="M126" s="143">
        <v>1</v>
      </c>
      <c r="N126" s="143" t="s">
        <v>33</v>
      </c>
      <c r="O126" s="145" t="s">
        <v>34</v>
      </c>
      <c r="P126" s="295">
        <f>SUM(J126*M126)</f>
        <v>290000</v>
      </c>
      <c r="Q126" s="146" t="s">
        <v>23</v>
      </c>
    </row>
    <row r="127" spans="1:17" ht="15.95" customHeight="1">
      <c r="A127" s="227"/>
      <c r="B127" s="43"/>
      <c r="C127" s="576" t="s">
        <v>295</v>
      </c>
      <c r="D127" s="648">
        <v>4000</v>
      </c>
      <c r="E127" s="650">
        <f>+P127/1000</f>
        <v>3200</v>
      </c>
      <c r="F127" s="635">
        <v>0</v>
      </c>
      <c r="G127" s="652">
        <f>+E127-D127</f>
        <v>-800</v>
      </c>
      <c r="H127" s="699">
        <f>+G127/D127*100</f>
        <v>-20</v>
      </c>
      <c r="I127" s="41"/>
      <c r="J127" s="54"/>
      <c r="K127" s="69"/>
      <c r="L127" s="53"/>
      <c r="M127" s="528" t="s">
        <v>22</v>
      </c>
      <c r="N127" s="528"/>
      <c r="O127" s="528"/>
      <c r="P127" s="54">
        <f>SUM(P128:P129)</f>
        <v>3200000</v>
      </c>
      <c r="Q127" s="38" t="s">
        <v>14</v>
      </c>
    </row>
    <row r="128" spans="1:17" ht="15.95" customHeight="1">
      <c r="A128" s="227"/>
      <c r="B128" s="43"/>
      <c r="C128" s="583"/>
      <c r="D128" s="649"/>
      <c r="E128" s="651"/>
      <c r="F128" s="636"/>
      <c r="G128" s="653">
        <f t="shared" si="10"/>
        <v>0</v>
      </c>
      <c r="H128" s="701" t="e">
        <f t="shared" si="11"/>
        <v>#DIV/0!</v>
      </c>
      <c r="I128" s="258" t="s">
        <v>296</v>
      </c>
      <c r="J128" s="48">
        <v>3000000</v>
      </c>
      <c r="K128" s="67" t="s">
        <v>23</v>
      </c>
      <c r="L128" s="47" t="s">
        <v>32</v>
      </c>
      <c r="M128" s="478">
        <v>1</v>
      </c>
      <c r="N128" s="478" t="s">
        <v>33</v>
      </c>
      <c r="O128" s="52" t="s">
        <v>34</v>
      </c>
      <c r="P128" s="48">
        <f>SUM(J128*M128)</f>
        <v>3000000</v>
      </c>
      <c r="Q128" s="49" t="s">
        <v>23</v>
      </c>
    </row>
    <row r="129" spans="1:17" ht="15.95" customHeight="1">
      <c r="A129" s="227"/>
      <c r="B129" s="43"/>
      <c r="C129" s="583"/>
      <c r="D129" s="649"/>
      <c r="E129" s="651"/>
      <c r="F129" s="647"/>
      <c r="G129" s="653">
        <f t="shared" si="10"/>
        <v>0</v>
      </c>
      <c r="H129" s="701" t="e">
        <f t="shared" si="11"/>
        <v>#DIV/0!</v>
      </c>
      <c r="I129" s="258" t="s">
        <v>297</v>
      </c>
      <c r="J129" s="48">
        <v>200000</v>
      </c>
      <c r="K129" s="67" t="s">
        <v>23</v>
      </c>
      <c r="L129" s="47" t="s">
        <v>32</v>
      </c>
      <c r="M129" s="478">
        <v>1</v>
      </c>
      <c r="N129" s="478" t="s">
        <v>33</v>
      </c>
      <c r="O129" s="52" t="s">
        <v>34</v>
      </c>
      <c r="P129" s="48">
        <f>SUM(J129*M129)</f>
        <v>200000</v>
      </c>
      <c r="Q129" s="49" t="s">
        <v>23</v>
      </c>
    </row>
    <row r="130" spans="1:17" ht="15.95" customHeight="1">
      <c r="A130" s="227"/>
      <c r="B130" s="43"/>
      <c r="C130" s="576" t="s">
        <v>298</v>
      </c>
      <c r="D130" s="686">
        <v>300</v>
      </c>
      <c r="E130" s="650">
        <f>P130/1000</f>
        <v>150</v>
      </c>
      <c r="F130" s="635">
        <v>0</v>
      </c>
      <c r="G130" s="652">
        <f>+E130-D130</f>
        <v>-150</v>
      </c>
      <c r="H130" s="699">
        <f t="shared" si="11"/>
        <v>-50</v>
      </c>
      <c r="I130" s="41"/>
      <c r="J130" s="54"/>
      <c r="K130" s="69"/>
      <c r="L130" s="53"/>
      <c r="M130" s="528" t="s">
        <v>22</v>
      </c>
      <c r="N130" s="528"/>
      <c r="O130" s="528"/>
      <c r="P130" s="54">
        <f>SUM(P131:P131)</f>
        <v>150000</v>
      </c>
      <c r="Q130" s="38" t="s">
        <v>14</v>
      </c>
    </row>
    <row r="131" spans="1:17" ht="15.95" customHeight="1">
      <c r="A131" s="227"/>
      <c r="B131" s="43"/>
      <c r="C131" s="656"/>
      <c r="D131" s="688"/>
      <c r="E131" s="658"/>
      <c r="F131" s="647"/>
      <c r="G131" s="659"/>
      <c r="H131" s="700" t="e">
        <f t="shared" si="11"/>
        <v>#DIV/0!</v>
      </c>
      <c r="I131" s="45" t="s">
        <v>299</v>
      </c>
      <c r="J131" s="48">
        <v>150000</v>
      </c>
      <c r="K131" s="67" t="s">
        <v>14</v>
      </c>
      <c r="L131" s="47" t="s">
        <v>32</v>
      </c>
      <c r="M131" s="478">
        <v>1</v>
      </c>
      <c r="N131" s="478" t="s">
        <v>42</v>
      </c>
      <c r="O131" s="519" t="s">
        <v>27</v>
      </c>
      <c r="P131" s="48">
        <f>+J131*M131</f>
        <v>150000</v>
      </c>
      <c r="Q131" s="49" t="s">
        <v>14</v>
      </c>
    </row>
    <row r="132" spans="1:17" ht="15.95" customHeight="1">
      <c r="A132" s="227"/>
      <c r="B132" s="43"/>
      <c r="C132" s="549" t="s">
        <v>300</v>
      </c>
      <c r="D132" s="628">
        <v>1000</v>
      </c>
      <c r="E132" s="552">
        <f>+P132/1000</f>
        <v>1200</v>
      </c>
      <c r="F132" s="635">
        <v>17779</v>
      </c>
      <c r="G132" s="652">
        <f>+E132-D132</f>
        <v>200</v>
      </c>
      <c r="H132" s="699">
        <f t="shared" si="11"/>
        <v>20</v>
      </c>
      <c r="I132" s="255"/>
      <c r="J132" s="54"/>
      <c r="K132" s="69"/>
      <c r="L132" s="53"/>
      <c r="M132" s="528" t="s">
        <v>22</v>
      </c>
      <c r="N132" s="528"/>
      <c r="O132" s="528"/>
      <c r="P132" s="54">
        <f>SUM(P133)</f>
        <v>1200000</v>
      </c>
      <c r="Q132" s="38" t="s">
        <v>14</v>
      </c>
    </row>
    <row r="133" spans="1:17" ht="15.95" customHeight="1">
      <c r="A133" s="227"/>
      <c r="B133" s="43"/>
      <c r="C133" s="551"/>
      <c r="D133" s="630"/>
      <c r="E133" s="565"/>
      <c r="F133" s="647"/>
      <c r="G133" s="659"/>
      <c r="H133" s="700" t="e">
        <f t="shared" si="11"/>
        <v>#DIV/0!</v>
      </c>
      <c r="I133" s="238" t="s">
        <v>301</v>
      </c>
      <c r="J133" s="295">
        <v>1200000</v>
      </c>
      <c r="K133" s="245" t="s">
        <v>23</v>
      </c>
      <c r="L133" s="144" t="s">
        <v>32</v>
      </c>
      <c r="M133" s="143">
        <v>1</v>
      </c>
      <c r="N133" s="143" t="s">
        <v>33</v>
      </c>
      <c r="O133" s="145" t="s">
        <v>34</v>
      </c>
      <c r="P133" s="295">
        <f>SUM(J133*M133)</f>
        <v>1200000</v>
      </c>
      <c r="Q133" s="146" t="s">
        <v>23</v>
      </c>
    </row>
    <row r="134" spans="1:17" ht="15.95" customHeight="1">
      <c r="A134" s="227"/>
      <c r="B134" s="43"/>
      <c r="C134" s="549" t="s">
        <v>302</v>
      </c>
      <c r="D134" s="628">
        <v>50</v>
      </c>
      <c r="E134" s="552">
        <f>+P134/1000</f>
        <v>0</v>
      </c>
      <c r="F134" s="635">
        <v>0</v>
      </c>
      <c r="G134" s="652">
        <f>+E134-D134</f>
        <v>-50</v>
      </c>
      <c r="H134" s="699">
        <f t="shared" si="11"/>
        <v>-100</v>
      </c>
      <c r="I134" s="239" t="s">
        <v>47</v>
      </c>
      <c r="J134" s="54"/>
      <c r="K134" s="69"/>
      <c r="L134" s="53"/>
      <c r="M134" s="528" t="s">
        <v>22</v>
      </c>
      <c r="N134" s="528"/>
      <c r="O134" s="528"/>
      <c r="P134" s="54">
        <f>SUM(P135)</f>
        <v>0</v>
      </c>
      <c r="Q134" s="38" t="s">
        <v>14</v>
      </c>
    </row>
    <row r="135" spans="1:17" ht="15.95" customHeight="1">
      <c r="A135" s="227"/>
      <c r="B135" s="43"/>
      <c r="C135" s="551"/>
      <c r="D135" s="630"/>
      <c r="E135" s="565"/>
      <c r="F135" s="647"/>
      <c r="G135" s="659"/>
      <c r="H135" s="700" t="e">
        <f t="shared" si="11"/>
        <v>#DIV/0!</v>
      </c>
      <c r="I135" s="238" t="s">
        <v>303</v>
      </c>
      <c r="J135" s="295">
        <v>0</v>
      </c>
      <c r="K135" s="245" t="s">
        <v>23</v>
      </c>
      <c r="L135" s="144" t="s">
        <v>32</v>
      </c>
      <c r="M135" s="143">
        <v>1</v>
      </c>
      <c r="N135" s="143" t="s">
        <v>33</v>
      </c>
      <c r="O135" s="145" t="s">
        <v>34</v>
      </c>
      <c r="P135" s="295">
        <f>SUM(J135*M135)</f>
        <v>0</v>
      </c>
      <c r="Q135" s="146" t="s">
        <v>23</v>
      </c>
    </row>
    <row r="136" spans="1:17" ht="18.75" customHeight="1">
      <c r="A136" s="314"/>
      <c r="B136" s="30" t="s">
        <v>304</v>
      </c>
      <c r="C136" s="292" t="s">
        <v>19</v>
      </c>
      <c r="D136" s="500">
        <f>SUM(D137:D144)</f>
        <v>17400</v>
      </c>
      <c r="E136" s="501">
        <f>SUM(E137:E144)</f>
        <v>17400</v>
      </c>
      <c r="F136" s="498">
        <f>SUM(F137:F144)</f>
        <v>4163</v>
      </c>
      <c r="G136" s="502">
        <f>+E136-D136</f>
        <v>0</v>
      </c>
      <c r="H136" s="503">
        <f>+G136/D136*100</f>
        <v>0</v>
      </c>
      <c r="I136" s="315"/>
      <c r="J136" s="168"/>
      <c r="K136" s="61"/>
      <c r="L136" s="169"/>
      <c r="M136" s="459"/>
      <c r="N136" s="459"/>
      <c r="O136" s="170"/>
      <c r="P136" s="168">
        <f>P137</f>
        <v>17400000</v>
      </c>
      <c r="Q136" s="98" t="s">
        <v>14</v>
      </c>
    </row>
    <row r="137" spans="1:17" ht="15.95" customHeight="1">
      <c r="A137" s="227"/>
      <c r="B137" s="487" t="s">
        <v>305</v>
      </c>
      <c r="C137" s="549" t="s">
        <v>306</v>
      </c>
      <c r="D137" s="648">
        <v>17400</v>
      </c>
      <c r="E137" s="650">
        <f>+P137/1000</f>
        <v>17400</v>
      </c>
      <c r="F137" s="635">
        <v>4163</v>
      </c>
      <c r="G137" s="652">
        <f>+E137-D137</f>
        <v>0</v>
      </c>
      <c r="H137" s="654">
        <f>+G137/D137*100</f>
        <v>0</v>
      </c>
      <c r="I137" s="41"/>
      <c r="J137" s="54"/>
      <c r="K137" s="69"/>
      <c r="L137" s="53"/>
      <c r="M137" s="528" t="s">
        <v>22</v>
      </c>
      <c r="N137" s="528"/>
      <c r="O137" s="528"/>
      <c r="P137" s="54">
        <f>SUM(P138,P145)</f>
        <v>17400000</v>
      </c>
      <c r="Q137" s="38" t="s">
        <v>23</v>
      </c>
    </row>
    <row r="138" spans="1:17" ht="15.95" customHeight="1">
      <c r="A138" s="227"/>
      <c r="B138" s="487" t="s">
        <v>307</v>
      </c>
      <c r="C138" s="550"/>
      <c r="D138" s="649"/>
      <c r="E138" s="651"/>
      <c r="F138" s="636"/>
      <c r="G138" s="653"/>
      <c r="H138" s="655"/>
      <c r="I138" s="477" t="s">
        <v>308</v>
      </c>
      <c r="J138" s="316"/>
      <c r="K138" s="317"/>
      <c r="L138" s="148"/>
      <c r="M138" s="147"/>
      <c r="N138" s="147"/>
      <c r="O138" s="149"/>
      <c r="P138" s="48">
        <f>SUM(P139:P144)</f>
        <v>16400000</v>
      </c>
      <c r="Q138" s="49" t="s">
        <v>23</v>
      </c>
    </row>
    <row r="139" spans="1:17" ht="15.95" customHeight="1">
      <c r="A139" s="227"/>
      <c r="B139" s="43"/>
      <c r="C139" s="550"/>
      <c r="D139" s="649"/>
      <c r="E139" s="651"/>
      <c r="F139" s="636"/>
      <c r="G139" s="653"/>
      <c r="H139" s="655"/>
      <c r="I139" s="45" t="s">
        <v>309</v>
      </c>
      <c r="J139" s="48">
        <v>100000</v>
      </c>
      <c r="K139" s="67" t="s">
        <v>23</v>
      </c>
      <c r="L139" s="47" t="s">
        <v>32</v>
      </c>
      <c r="M139" s="478">
        <v>2</v>
      </c>
      <c r="N139" s="478" t="s">
        <v>33</v>
      </c>
      <c r="O139" s="52" t="s">
        <v>34</v>
      </c>
      <c r="P139" s="48">
        <f t="shared" ref="P139:P144" si="12">SUM(J139*M139)</f>
        <v>200000</v>
      </c>
      <c r="Q139" s="49" t="s">
        <v>23</v>
      </c>
    </row>
    <row r="140" spans="1:17" ht="15.95" customHeight="1">
      <c r="A140" s="227"/>
      <c r="B140" s="43"/>
      <c r="C140" s="550"/>
      <c r="D140" s="649"/>
      <c r="E140" s="651"/>
      <c r="F140" s="636"/>
      <c r="G140" s="653"/>
      <c r="H140" s="655"/>
      <c r="I140" s="45" t="s">
        <v>310</v>
      </c>
      <c r="J140" s="48">
        <v>600000</v>
      </c>
      <c r="K140" s="67" t="s">
        <v>23</v>
      </c>
      <c r="L140" s="47" t="s">
        <v>32</v>
      </c>
      <c r="M140" s="478">
        <v>2</v>
      </c>
      <c r="N140" s="478" t="s">
        <v>33</v>
      </c>
      <c r="O140" s="52" t="s">
        <v>34</v>
      </c>
      <c r="P140" s="48">
        <f t="shared" si="12"/>
        <v>1200000</v>
      </c>
      <c r="Q140" s="49" t="s">
        <v>23</v>
      </c>
    </row>
    <row r="141" spans="1:17" ht="15.95" customHeight="1">
      <c r="A141" s="227"/>
      <c r="B141" s="43"/>
      <c r="C141" s="550"/>
      <c r="D141" s="649"/>
      <c r="E141" s="651"/>
      <c r="F141" s="636"/>
      <c r="G141" s="653"/>
      <c r="H141" s="655"/>
      <c r="I141" s="45" t="s">
        <v>311</v>
      </c>
      <c r="J141" s="48">
        <v>6040000</v>
      </c>
      <c r="K141" s="67" t="s">
        <v>23</v>
      </c>
      <c r="L141" s="47" t="s">
        <v>32</v>
      </c>
      <c r="M141" s="478">
        <v>2</v>
      </c>
      <c r="N141" s="478" t="s">
        <v>33</v>
      </c>
      <c r="O141" s="52" t="s">
        <v>34</v>
      </c>
      <c r="P141" s="48">
        <f t="shared" si="12"/>
        <v>12080000</v>
      </c>
      <c r="Q141" s="49" t="s">
        <v>23</v>
      </c>
    </row>
    <row r="142" spans="1:17" ht="15.95" customHeight="1">
      <c r="A142" s="227"/>
      <c r="B142" s="43"/>
      <c r="C142" s="550"/>
      <c r="D142" s="649"/>
      <c r="E142" s="651"/>
      <c r="F142" s="636"/>
      <c r="G142" s="653"/>
      <c r="H142" s="655"/>
      <c r="I142" s="242" t="s">
        <v>312</v>
      </c>
      <c r="J142" s="48">
        <v>100000</v>
      </c>
      <c r="K142" s="67" t="s">
        <v>23</v>
      </c>
      <c r="L142" s="47" t="s">
        <v>32</v>
      </c>
      <c r="M142" s="478">
        <v>2</v>
      </c>
      <c r="N142" s="478" t="s">
        <v>33</v>
      </c>
      <c r="O142" s="52"/>
      <c r="P142" s="48">
        <f t="shared" si="12"/>
        <v>200000</v>
      </c>
      <c r="Q142" s="49" t="s">
        <v>14</v>
      </c>
    </row>
    <row r="143" spans="1:17" ht="15.95" customHeight="1">
      <c r="A143" s="227"/>
      <c r="B143" s="43"/>
      <c r="C143" s="550"/>
      <c r="D143" s="649"/>
      <c r="E143" s="651"/>
      <c r="F143" s="636"/>
      <c r="G143" s="653"/>
      <c r="H143" s="655"/>
      <c r="I143" s="242" t="s">
        <v>313</v>
      </c>
      <c r="J143" s="48">
        <v>310000</v>
      </c>
      <c r="K143" s="67" t="s">
        <v>23</v>
      </c>
      <c r="L143" s="47" t="s">
        <v>32</v>
      </c>
      <c r="M143" s="478">
        <v>2</v>
      </c>
      <c r="N143" s="478" t="s">
        <v>33</v>
      </c>
      <c r="O143" s="478"/>
      <c r="P143" s="48">
        <f t="shared" si="12"/>
        <v>620000</v>
      </c>
      <c r="Q143" s="49" t="s">
        <v>23</v>
      </c>
    </row>
    <row r="144" spans="1:17" ht="15.95" customHeight="1">
      <c r="A144" s="227"/>
      <c r="B144" s="43"/>
      <c r="C144" s="550"/>
      <c r="D144" s="649"/>
      <c r="E144" s="651"/>
      <c r="F144" s="636"/>
      <c r="G144" s="653"/>
      <c r="H144" s="655"/>
      <c r="I144" s="242" t="s">
        <v>314</v>
      </c>
      <c r="J144" s="48">
        <v>420000</v>
      </c>
      <c r="K144" s="67" t="s">
        <v>23</v>
      </c>
      <c r="L144" s="47" t="s">
        <v>32</v>
      </c>
      <c r="M144" s="478">
        <v>5</v>
      </c>
      <c r="N144" s="478" t="s">
        <v>33</v>
      </c>
      <c r="O144" s="478"/>
      <c r="P144" s="48">
        <f t="shared" si="12"/>
        <v>2100000</v>
      </c>
      <c r="Q144" s="49" t="s">
        <v>23</v>
      </c>
    </row>
    <row r="145" spans="1:17" ht="15.75" customHeight="1">
      <c r="A145" s="227"/>
      <c r="B145" s="270"/>
      <c r="C145" s="551"/>
      <c r="D145" s="657"/>
      <c r="E145" s="658"/>
      <c r="F145" s="492"/>
      <c r="G145" s="659"/>
      <c r="H145" s="660"/>
      <c r="I145" s="318" t="s">
        <v>315</v>
      </c>
      <c r="J145" s="295">
        <v>1000000</v>
      </c>
      <c r="K145" s="245" t="s">
        <v>23</v>
      </c>
      <c r="L145" s="144" t="s">
        <v>32</v>
      </c>
      <c r="M145" s="143">
        <v>1</v>
      </c>
      <c r="N145" s="143" t="s">
        <v>33</v>
      </c>
      <c r="O145" s="143"/>
      <c r="P145" s="295">
        <f>SUM(J145*M145)</f>
        <v>1000000</v>
      </c>
      <c r="Q145" s="146" t="s">
        <v>23</v>
      </c>
    </row>
    <row r="146" spans="1:17" ht="20.100000000000001" customHeight="1">
      <c r="A146" s="282" t="s">
        <v>316</v>
      </c>
      <c r="B146" s="30" t="s">
        <v>317</v>
      </c>
      <c r="C146" s="491" t="s">
        <v>269</v>
      </c>
      <c r="D146" s="486">
        <f>SUM(D147:D150)</f>
        <v>5250</v>
      </c>
      <c r="E146" s="469">
        <f>SUM(E147:E150)</f>
        <v>3600</v>
      </c>
      <c r="F146" s="489">
        <f>SUM(F147:F150)</f>
        <v>2338</v>
      </c>
      <c r="G146" s="481">
        <f>+E146-D146</f>
        <v>-1650</v>
      </c>
      <c r="H146" s="484">
        <f>+G146/D146*100</f>
        <v>-31.428571428571427</v>
      </c>
      <c r="I146" s="294"/>
      <c r="J146" s="168"/>
      <c r="K146" s="61"/>
      <c r="L146" s="169"/>
      <c r="M146" s="459"/>
      <c r="N146" s="459"/>
      <c r="O146" s="170"/>
      <c r="P146" s="168">
        <f>P147</f>
        <v>3600000</v>
      </c>
      <c r="Q146" s="98" t="s">
        <v>14</v>
      </c>
    </row>
    <row r="147" spans="1:17" ht="15.95" customHeight="1">
      <c r="A147" s="282"/>
      <c r="B147" s="487" t="s">
        <v>318</v>
      </c>
      <c r="C147" s="549" t="s">
        <v>319</v>
      </c>
      <c r="D147" s="648">
        <v>5250</v>
      </c>
      <c r="E147" s="650">
        <f>+P147/1000</f>
        <v>3600</v>
      </c>
      <c r="F147" s="635">
        <v>2338</v>
      </c>
      <c r="G147" s="652">
        <f>+E147-D147</f>
        <v>-1650</v>
      </c>
      <c r="H147" s="654">
        <f>+G147/D147*100</f>
        <v>-31.428571428571427</v>
      </c>
      <c r="I147" s="258"/>
      <c r="J147" s="54"/>
      <c r="K147" s="69"/>
      <c r="L147" s="53"/>
      <c r="M147" s="528" t="s">
        <v>40</v>
      </c>
      <c r="N147" s="528"/>
      <c r="O147" s="528"/>
      <c r="P147" s="54">
        <f>SUM(P148:P150)</f>
        <v>3600000</v>
      </c>
      <c r="Q147" s="49" t="s">
        <v>23</v>
      </c>
    </row>
    <row r="148" spans="1:17" ht="15.95" customHeight="1">
      <c r="A148" s="227"/>
      <c r="B148" s="319"/>
      <c r="C148" s="550"/>
      <c r="D148" s="649"/>
      <c r="E148" s="651"/>
      <c r="F148" s="636"/>
      <c r="G148" s="653"/>
      <c r="H148" s="655"/>
      <c r="I148" s="278" t="s">
        <v>320</v>
      </c>
      <c r="J148" s="48">
        <v>200000</v>
      </c>
      <c r="K148" s="67" t="s">
        <v>23</v>
      </c>
      <c r="L148" s="47" t="s">
        <v>32</v>
      </c>
      <c r="M148" s="478">
        <v>10</v>
      </c>
      <c r="N148" s="478" t="s">
        <v>232</v>
      </c>
      <c r="O148" s="52" t="s">
        <v>34</v>
      </c>
      <c r="P148" s="48">
        <f>SUM(J148*M148)</f>
        <v>2000000</v>
      </c>
      <c r="Q148" s="49" t="s">
        <v>23</v>
      </c>
    </row>
    <row r="149" spans="1:17" ht="15.95" customHeight="1">
      <c r="A149" s="227"/>
      <c r="B149" s="319"/>
      <c r="C149" s="550"/>
      <c r="D149" s="649"/>
      <c r="E149" s="651"/>
      <c r="F149" s="636"/>
      <c r="G149" s="653"/>
      <c r="H149" s="655"/>
      <c r="I149" s="242" t="s">
        <v>321</v>
      </c>
      <c r="J149" s="48">
        <v>100000</v>
      </c>
      <c r="K149" s="67" t="s">
        <v>23</v>
      </c>
      <c r="L149" s="47" t="s">
        <v>32</v>
      </c>
      <c r="M149" s="478">
        <v>6</v>
      </c>
      <c r="N149" s="478" t="s">
        <v>232</v>
      </c>
      <c r="O149" s="52" t="s">
        <v>34</v>
      </c>
      <c r="P149" s="48">
        <f>SUM(J149*M149)</f>
        <v>600000</v>
      </c>
      <c r="Q149" s="49" t="s">
        <v>23</v>
      </c>
    </row>
    <row r="150" spans="1:17" ht="15.95" customHeight="1" thickBot="1">
      <c r="A150" s="227"/>
      <c r="B150" s="319"/>
      <c r="C150" s="550"/>
      <c r="D150" s="649"/>
      <c r="E150" s="651"/>
      <c r="F150" s="636"/>
      <c r="G150" s="653"/>
      <c r="H150" s="655"/>
      <c r="I150" s="320" t="s">
        <v>322</v>
      </c>
      <c r="J150" s="48">
        <v>40000</v>
      </c>
      <c r="K150" s="67" t="s">
        <v>23</v>
      </c>
      <c r="L150" s="47" t="s">
        <v>32</v>
      </c>
      <c r="M150" s="478">
        <v>25</v>
      </c>
      <c r="N150" s="478" t="s">
        <v>232</v>
      </c>
      <c r="O150" s="52" t="s">
        <v>34</v>
      </c>
      <c r="P150" s="48">
        <f>SUM(J150*M150)</f>
        <v>1000000</v>
      </c>
      <c r="Q150" s="49" t="s">
        <v>23</v>
      </c>
    </row>
    <row r="151" spans="1:17" ht="20.100000000000001" customHeight="1">
      <c r="A151" s="227"/>
      <c r="B151" s="321" t="s">
        <v>323</v>
      </c>
      <c r="C151" s="322" t="s">
        <v>269</v>
      </c>
      <c r="D151" s="298">
        <f>SUM(D152:D161)</f>
        <v>644805</v>
      </c>
      <c r="E151" s="299">
        <f>SUM(E152:E161)</f>
        <v>340302.5</v>
      </c>
      <c r="F151" s="323">
        <f>SUM(F152:F162)</f>
        <v>247503</v>
      </c>
      <c r="G151" s="301">
        <f>E151-D151</f>
        <v>-304502.5</v>
      </c>
      <c r="H151" s="302">
        <f>+G151/D151*100</f>
        <v>-47.223966935740265</v>
      </c>
      <c r="I151" s="324"/>
      <c r="J151" s="288"/>
      <c r="K151" s="289"/>
      <c r="L151" s="325"/>
      <c r="M151" s="290"/>
      <c r="N151" s="290"/>
      <c r="O151" s="326"/>
      <c r="P151" s="288">
        <f>SUM(P152,P155,P161)</f>
        <v>340302500</v>
      </c>
      <c r="Q151" s="291" t="s">
        <v>14</v>
      </c>
    </row>
    <row r="152" spans="1:17" ht="15.95" customHeight="1">
      <c r="A152" s="227"/>
      <c r="B152" s="487" t="s">
        <v>324</v>
      </c>
      <c r="C152" s="549" t="s">
        <v>325</v>
      </c>
      <c r="D152" s="648">
        <v>50000</v>
      </c>
      <c r="E152" s="650">
        <f>P152/1000</f>
        <v>30741</v>
      </c>
      <c r="F152" s="635">
        <v>80151</v>
      </c>
      <c r="G152" s="652">
        <f>+E152-D152</f>
        <v>-19259</v>
      </c>
      <c r="H152" s="654">
        <f>+G152/D152*100</f>
        <v>-38.518000000000001</v>
      </c>
      <c r="I152" s="41"/>
      <c r="J152" s="54"/>
      <c r="K152" s="69"/>
      <c r="L152" s="53"/>
      <c r="M152" s="528" t="s">
        <v>22</v>
      </c>
      <c r="N152" s="528"/>
      <c r="O152" s="528"/>
      <c r="P152" s="54">
        <f>SUM(P153:P154)</f>
        <v>30741000</v>
      </c>
      <c r="Q152" s="38" t="s">
        <v>23</v>
      </c>
    </row>
    <row r="153" spans="1:17" ht="15.95" customHeight="1">
      <c r="A153" s="227"/>
      <c r="B153" s="43"/>
      <c r="C153" s="550"/>
      <c r="D153" s="649"/>
      <c r="E153" s="651"/>
      <c r="F153" s="636"/>
      <c r="G153" s="653"/>
      <c r="H153" s="655"/>
      <c r="I153" s="327" t="s">
        <v>326</v>
      </c>
      <c r="J153" s="48">
        <v>500000</v>
      </c>
      <c r="K153" s="67" t="s">
        <v>23</v>
      </c>
      <c r="L153" s="47" t="s">
        <v>32</v>
      </c>
      <c r="M153" s="478">
        <v>1</v>
      </c>
      <c r="N153" s="478" t="s">
        <v>33</v>
      </c>
      <c r="O153" s="52" t="s">
        <v>34</v>
      </c>
      <c r="P153" s="48">
        <f>SUM(J153*M153)</f>
        <v>500000</v>
      </c>
      <c r="Q153" s="49" t="s">
        <v>23</v>
      </c>
    </row>
    <row r="154" spans="1:17" ht="15.95" customHeight="1">
      <c r="A154" s="227"/>
      <c r="B154" s="43"/>
      <c r="C154" s="550"/>
      <c r="D154" s="649"/>
      <c r="E154" s="651"/>
      <c r="F154" s="647"/>
      <c r="G154" s="653"/>
      <c r="H154" s="655"/>
      <c r="I154" s="320" t="s">
        <v>327</v>
      </c>
      <c r="J154" s="48">
        <v>30241000</v>
      </c>
      <c r="K154" s="67" t="s">
        <v>14</v>
      </c>
      <c r="L154" s="47" t="s">
        <v>32</v>
      </c>
      <c r="M154" s="478">
        <v>1</v>
      </c>
      <c r="N154" s="478" t="s">
        <v>42</v>
      </c>
      <c r="O154" s="52" t="s">
        <v>34</v>
      </c>
      <c r="P154" s="48">
        <f>SUM(J154*M154)</f>
        <v>30241000</v>
      </c>
      <c r="Q154" s="49" t="s">
        <v>23</v>
      </c>
    </row>
    <row r="155" spans="1:17" ht="15.95" customHeight="1">
      <c r="A155" s="227"/>
      <c r="B155" s="43"/>
      <c r="C155" s="642" t="s">
        <v>328</v>
      </c>
      <c r="D155" s="648">
        <v>477561</v>
      </c>
      <c r="E155" s="696">
        <f>(P155/1000)</f>
        <v>237561.5</v>
      </c>
      <c r="F155" s="635">
        <v>83961</v>
      </c>
      <c r="G155" s="652">
        <f>E155-D155</f>
        <v>-239999.5</v>
      </c>
      <c r="H155" s="654">
        <f>+G155/D155*100</f>
        <v>-50.255255349578377</v>
      </c>
      <c r="I155" s="328"/>
      <c r="J155" s="54"/>
      <c r="K155" s="69"/>
      <c r="L155" s="53"/>
      <c r="M155" s="528" t="s">
        <v>22</v>
      </c>
      <c r="N155" s="528"/>
      <c r="O155" s="528"/>
      <c r="P155" s="54">
        <f>SUM(P156:P160)</f>
        <v>237561500</v>
      </c>
      <c r="Q155" s="38" t="s">
        <v>14</v>
      </c>
    </row>
    <row r="156" spans="1:17" ht="15.95" customHeight="1">
      <c r="A156" s="227"/>
      <c r="B156" s="43"/>
      <c r="C156" s="643"/>
      <c r="D156" s="649"/>
      <c r="E156" s="697"/>
      <c r="F156" s="636"/>
      <c r="G156" s="653"/>
      <c r="H156" s="655"/>
      <c r="I156" s="266" t="s">
        <v>329</v>
      </c>
      <c r="J156" s="48">
        <v>125000000</v>
      </c>
      <c r="K156" s="67" t="s">
        <v>23</v>
      </c>
      <c r="L156" s="47" t="s">
        <v>32</v>
      </c>
      <c r="M156" s="478">
        <v>1</v>
      </c>
      <c r="N156" s="478" t="s">
        <v>33</v>
      </c>
      <c r="O156" s="52" t="s">
        <v>34</v>
      </c>
      <c r="P156" s="48">
        <f>SUM(J156*M156)</f>
        <v>125000000</v>
      </c>
      <c r="Q156" s="49" t="s">
        <v>23</v>
      </c>
    </row>
    <row r="157" spans="1:17" ht="15.95" customHeight="1">
      <c r="A157" s="329"/>
      <c r="B157" s="43"/>
      <c r="C157" s="643"/>
      <c r="D157" s="649"/>
      <c r="E157" s="697"/>
      <c r="F157" s="492"/>
      <c r="G157" s="653"/>
      <c r="H157" s="655"/>
      <c r="I157" s="242" t="s">
        <v>330</v>
      </c>
      <c r="J157" s="48">
        <v>0</v>
      </c>
      <c r="K157" s="67" t="s">
        <v>14</v>
      </c>
      <c r="L157" s="47" t="s">
        <v>32</v>
      </c>
      <c r="M157" s="478">
        <v>1</v>
      </c>
      <c r="N157" s="478" t="s">
        <v>33</v>
      </c>
      <c r="O157" s="52" t="s">
        <v>43</v>
      </c>
      <c r="P157" s="48">
        <f>J157*M157</f>
        <v>0</v>
      </c>
      <c r="Q157" s="49" t="s">
        <v>14</v>
      </c>
    </row>
    <row r="158" spans="1:17" ht="15.95" customHeight="1">
      <c r="A158" s="329"/>
      <c r="B158" s="43"/>
      <c r="C158" s="643"/>
      <c r="D158" s="649"/>
      <c r="E158" s="697"/>
      <c r="F158" s="492"/>
      <c r="G158" s="653"/>
      <c r="H158" s="655"/>
      <c r="I158" s="330" t="s">
        <v>331</v>
      </c>
      <c r="J158" s="48">
        <v>84561500</v>
      </c>
      <c r="K158" s="67" t="s">
        <v>14</v>
      </c>
      <c r="L158" s="47" t="s">
        <v>32</v>
      </c>
      <c r="M158" s="478">
        <v>1</v>
      </c>
      <c r="N158" s="478" t="s">
        <v>33</v>
      </c>
      <c r="O158" s="52" t="s">
        <v>43</v>
      </c>
      <c r="P158" s="48">
        <f>J158*M158</f>
        <v>84561500</v>
      </c>
      <c r="Q158" s="49" t="s">
        <v>14</v>
      </c>
    </row>
    <row r="159" spans="1:17" ht="15.95" customHeight="1">
      <c r="A159" s="329"/>
      <c r="B159" s="43"/>
      <c r="C159" s="643"/>
      <c r="D159" s="649"/>
      <c r="E159" s="697"/>
      <c r="F159" s="492"/>
      <c r="G159" s="653"/>
      <c r="H159" s="655"/>
      <c r="I159" s="330" t="s">
        <v>332</v>
      </c>
      <c r="J159" s="48">
        <v>18000000</v>
      </c>
      <c r="K159" s="67" t="s">
        <v>14</v>
      </c>
      <c r="L159" s="47" t="s">
        <v>32</v>
      </c>
      <c r="M159" s="478">
        <v>1</v>
      </c>
      <c r="N159" s="478" t="s">
        <v>33</v>
      </c>
      <c r="O159" s="52" t="s">
        <v>43</v>
      </c>
      <c r="P159" s="48">
        <f>J159*M159</f>
        <v>18000000</v>
      </c>
      <c r="Q159" s="49" t="s">
        <v>14</v>
      </c>
    </row>
    <row r="160" spans="1:17" ht="15.95" customHeight="1">
      <c r="A160" s="329"/>
      <c r="B160" s="43"/>
      <c r="C160" s="644"/>
      <c r="D160" s="657"/>
      <c r="E160" s="698"/>
      <c r="F160" s="492"/>
      <c r="G160" s="659"/>
      <c r="H160" s="660"/>
      <c r="I160" s="520" t="s">
        <v>333</v>
      </c>
      <c r="J160" s="295">
        <v>10000000</v>
      </c>
      <c r="K160" s="67" t="s">
        <v>14</v>
      </c>
      <c r="L160" s="47" t="s">
        <v>32</v>
      </c>
      <c r="M160" s="478">
        <v>1</v>
      </c>
      <c r="N160" s="478" t="s">
        <v>33</v>
      </c>
      <c r="O160" s="52" t="s">
        <v>43</v>
      </c>
      <c r="P160" s="48">
        <f>J160*M160</f>
        <v>10000000</v>
      </c>
      <c r="Q160" s="49" t="s">
        <v>14</v>
      </c>
    </row>
    <row r="161" spans="1:17" ht="15.95" customHeight="1">
      <c r="A161" s="329"/>
      <c r="B161" s="43"/>
      <c r="C161" s="549" t="s">
        <v>334</v>
      </c>
      <c r="D161" s="648">
        <v>117244</v>
      </c>
      <c r="E161" s="650">
        <f>+P161/1000</f>
        <v>72000</v>
      </c>
      <c r="F161" s="492"/>
      <c r="G161" s="652">
        <f>+E161-D161</f>
        <v>-45244</v>
      </c>
      <c r="H161" s="654">
        <f>+G161/D161*100</f>
        <v>-38.589607996997714</v>
      </c>
      <c r="I161" s="239"/>
      <c r="J161" s="54"/>
      <c r="K161" s="69"/>
      <c r="L161" s="53"/>
      <c r="M161" s="528" t="s">
        <v>40</v>
      </c>
      <c r="N161" s="528"/>
      <c r="O161" s="528"/>
      <c r="P161" s="54">
        <f>SUM(P162:P162)</f>
        <v>72000000</v>
      </c>
      <c r="Q161" s="38" t="s">
        <v>14</v>
      </c>
    </row>
    <row r="162" spans="1:17" ht="18" customHeight="1">
      <c r="A162" s="329"/>
      <c r="B162" s="43"/>
      <c r="C162" s="550"/>
      <c r="D162" s="649"/>
      <c r="E162" s="651"/>
      <c r="F162" s="498">
        <v>83391</v>
      </c>
      <c r="G162" s="653"/>
      <c r="H162" s="655"/>
      <c r="I162" s="375" t="s">
        <v>335</v>
      </c>
      <c r="J162" s="72">
        <v>6000000</v>
      </c>
      <c r="K162" s="107" t="s">
        <v>23</v>
      </c>
      <c r="L162" s="74" t="s">
        <v>32</v>
      </c>
      <c r="M162" s="73">
        <v>12</v>
      </c>
      <c r="N162" s="73" t="s">
        <v>33</v>
      </c>
      <c r="O162" s="75" t="s">
        <v>34</v>
      </c>
      <c r="P162" s="72">
        <f>J162*M162</f>
        <v>72000000</v>
      </c>
      <c r="Q162" s="76" t="s">
        <v>23</v>
      </c>
    </row>
    <row r="163" spans="1:17" ht="20.100000000000001" customHeight="1">
      <c r="A163" s="227" t="s">
        <v>2</v>
      </c>
      <c r="B163" s="331" t="s">
        <v>336</v>
      </c>
      <c r="C163" s="332" t="s">
        <v>269</v>
      </c>
      <c r="D163" s="333">
        <f>SUM(D164:D199)</f>
        <v>23660</v>
      </c>
      <c r="E163" s="334">
        <f>SUM(E164:E199)</f>
        <v>20660</v>
      </c>
      <c r="F163" s="313">
        <f>SUM(F164:F199)</f>
        <v>23779</v>
      </c>
      <c r="G163" s="502">
        <f>+E163-D163</f>
        <v>-3000</v>
      </c>
      <c r="H163" s="503">
        <f>G163/D163*100</f>
        <v>-12.679628064243447</v>
      </c>
      <c r="I163" s="294"/>
      <c r="J163" s="168"/>
      <c r="K163" s="61"/>
      <c r="L163" s="61"/>
      <c r="M163" s="531"/>
      <c r="N163" s="531"/>
      <c r="O163" s="531"/>
      <c r="P163" s="97">
        <f>SUM(P164,P194,P197)</f>
        <v>20660000</v>
      </c>
      <c r="Q163" s="98" t="s">
        <v>14</v>
      </c>
    </row>
    <row r="164" spans="1:17" ht="15.95" customHeight="1">
      <c r="A164" s="227"/>
      <c r="B164" s="335" t="s">
        <v>337</v>
      </c>
      <c r="C164" s="633" t="s">
        <v>338</v>
      </c>
      <c r="D164" s="686">
        <v>18300</v>
      </c>
      <c r="E164" s="689">
        <f>+P164/1000</f>
        <v>18300</v>
      </c>
      <c r="F164" s="692">
        <v>17389</v>
      </c>
      <c r="G164" s="652">
        <f>+E164-D164</f>
        <v>0</v>
      </c>
      <c r="H164" s="654">
        <f>+G164/D164*100</f>
        <v>0</v>
      </c>
      <c r="I164" s="45"/>
      <c r="J164" s="48"/>
      <c r="K164" s="67"/>
      <c r="L164" s="47"/>
      <c r="M164" s="528" t="s">
        <v>19</v>
      </c>
      <c r="N164" s="528"/>
      <c r="O164" s="528"/>
      <c r="P164" s="48">
        <f>+P165+P168+P171+P173+P175+P178+P181+P185+P188+P190+P192</f>
        <v>18300000</v>
      </c>
      <c r="Q164" s="138" t="s">
        <v>23</v>
      </c>
    </row>
    <row r="165" spans="1:17" ht="15.95" customHeight="1">
      <c r="A165" s="227"/>
      <c r="B165" s="335" t="s">
        <v>339</v>
      </c>
      <c r="C165" s="634"/>
      <c r="D165" s="687"/>
      <c r="E165" s="690"/>
      <c r="F165" s="693"/>
      <c r="G165" s="653"/>
      <c r="H165" s="655"/>
      <c r="I165" s="336" t="s">
        <v>340</v>
      </c>
      <c r="J165" s="337"/>
      <c r="K165" s="338"/>
      <c r="L165" s="339"/>
      <c r="M165" s="340"/>
      <c r="N165" s="340"/>
      <c r="O165" s="341"/>
      <c r="P165" s="337">
        <f>SUM(P166:P167)</f>
        <v>3000000</v>
      </c>
      <c r="Q165" s="138" t="s">
        <v>23</v>
      </c>
    </row>
    <row r="166" spans="1:17" ht="15.95" customHeight="1">
      <c r="A166" s="227"/>
      <c r="B166" s="335" t="s">
        <v>341</v>
      </c>
      <c r="C166" s="634"/>
      <c r="D166" s="687"/>
      <c r="E166" s="690"/>
      <c r="F166" s="693"/>
      <c r="G166" s="653"/>
      <c r="H166" s="655"/>
      <c r="I166" s="327" t="s">
        <v>342</v>
      </c>
      <c r="J166" s="48">
        <v>2000000</v>
      </c>
      <c r="K166" s="67" t="s">
        <v>23</v>
      </c>
      <c r="L166" s="47" t="s">
        <v>32</v>
      </c>
      <c r="M166" s="478">
        <v>1</v>
      </c>
      <c r="N166" s="478" t="s">
        <v>33</v>
      </c>
      <c r="O166" s="52" t="s">
        <v>34</v>
      </c>
      <c r="P166" s="48">
        <f>SUM(J166*M166)</f>
        <v>2000000</v>
      </c>
      <c r="Q166" s="49" t="s">
        <v>23</v>
      </c>
    </row>
    <row r="167" spans="1:17" ht="15.95" customHeight="1">
      <c r="A167" s="227"/>
      <c r="B167" s="43"/>
      <c r="C167" s="634"/>
      <c r="D167" s="687"/>
      <c r="E167" s="690"/>
      <c r="F167" s="693"/>
      <c r="G167" s="653"/>
      <c r="H167" s="655"/>
      <c r="I167" s="327" t="s">
        <v>343</v>
      </c>
      <c r="J167" s="48">
        <v>100000</v>
      </c>
      <c r="K167" s="67" t="s">
        <v>23</v>
      </c>
      <c r="L167" s="47" t="s">
        <v>32</v>
      </c>
      <c r="M167" s="478">
        <v>10</v>
      </c>
      <c r="N167" s="478" t="s">
        <v>33</v>
      </c>
      <c r="O167" s="52" t="s">
        <v>34</v>
      </c>
      <c r="P167" s="48">
        <f>SUM(J167*M167)</f>
        <v>1000000</v>
      </c>
      <c r="Q167" s="49" t="s">
        <v>23</v>
      </c>
    </row>
    <row r="168" spans="1:17" ht="15.95" customHeight="1">
      <c r="A168" s="227"/>
      <c r="B168" s="43"/>
      <c r="C168" s="634"/>
      <c r="D168" s="687"/>
      <c r="E168" s="690"/>
      <c r="F168" s="693"/>
      <c r="G168" s="653"/>
      <c r="H168" s="655"/>
      <c r="I168" s="342" t="s">
        <v>344</v>
      </c>
      <c r="J168" s="316"/>
      <c r="K168" s="317"/>
      <c r="L168" s="148"/>
      <c r="M168" s="147"/>
      <c r="N168" s="147"/>
      <c r="O168" s="149"/>
      <c r="P168" s="316">
        <f>SUM(P169:P170)</f>
        <v>1500000</v>
      </c>
      <c r="Q168" s="49" t="s">
        <v>23</v>
      </c>
    </row>
    <row r="169" spans="1:17" ht="15.95" customHeight="1">
      <c r="A169" s="227"/>
      <c r="B169" s="43"/>
      <c r="C169" s="634"/>
      <c r="D169" s="687"/>
      <c r="E169" s="690"/>
      <c r="F169" s="693"/>
      <c r="G169" s="653"/>
      <c r="H169" s="655"/>
      <c r="I169" s="327" t="s">
        <v>345</v>
      </c>
      <c r="J169" s="48">
        <v>1000000</v>
      </c>
      <c r="K169" s="67" t="s">
        <v>23</v>
      </c>
      <c r="L169" s="47" t="s">
        <v>32</v>
      </c>
      <c r="M169" s="478">
        <v>1</v>
      </c>
      <c r="N169" s="478" t="s">
        <v>33</v>
      </c>
      <c r="O169" s="52" t="s">
        <v>34</v>
      </c>
      <c r="P169" s="48">
        <f>SUM(J169*M169)</f>
        <v>1000000</v>
      </c>
      <c r="Q169" s="49" t="s">
        <v>23</v>
      </c>
    </row>
    <row r="170" spans="1:17" ht="15.95" customHeight="1">
      <c r="A170" s="227"/>
      <c r="B170" s="43"/>
      <c r="C170" s="634"/>
      <c r="D170" s="687"/>
      <c r="E170" s="690"/>
      <c r="F170" s="693"/>
      <c r="G170" s="653"/>
      <c r="H170" s="655"/>
      <c r="I170" s="327" t="s">
        <v>346</v>
      </c>
      <c r="J170" s="48">
        <v>500000</v>
      </c>
      <c r="K170" s="67" t="s">
        <v>23</v>
      </c>
      <c r="L170" s="47" t="s">
        <v>32</v>
      </c>
      <c r="M170" s="478">
        <v>1</v>
      </c>
      <c r="N170" s="478" t="s">
        <v>33</v>
      </c>
      <c r="O170" s="52" t="s">
        <v>34</v>
      </c>
      <c r="P170" s="48">
        <f>SUM(J170*M170)</f>
        <v>500000</v>
      </c>
      <c r="Q170" s="49" t="s">
        <v>23</v>
      </c>
    </row>
    <row r="171" spans="1:17" ht="15.95" customHeight="1">
      <c r="A171" s="227"/>
      <c r="B171" s="43"/>
      <c r="C171" s="634"/>
      <c r="D171" s="687"/>
      <c r="E171" s="690"/>
      <c r="F171" s="693"/>
      <c r="G171" s="653"/>
      <c r="H171" s="655"/>
      <c r="I171" s="342" t="s">
        <v>347</v>
      </c>
      <c r="J171" s="316"/>
      <c r="K171" s="317"/>
      <c r="L171" s="148"/>
      <c r="M171" s="147"/>
      <c r="N171" s="147"/>
      <c r="O171" s="149"/>
      <c r="P171" s="316">
        <f>SUM(P172:P172)</f>
        <v>1500000</v>
      </c>
      <c r="Q171" s="49" t="s">
        <v>23</v>
      </c>
    </row>
    <row r="172" spans="1:17" ht="15.95" customHeight="1">
      <c r="A172" s="227"/>
      <c r="B172" s="43"/>
      <c r="C172" s="634"/>
      <c r="D172" s="687"/>
      <c r="E172" s="690"/>
      <c r="F172" s="693"/>
      <c r="G172" s="653"/>
      <c r="H172" s="655"/>
      <c r="I172" s="327" t="s">
        <v>348</v>
      </c>
      <c r="J172" s="48">
        <v>1500000</v>
      </c>
      <c r="K172" s="67" t="s">
        <v>23</v>
      </c>
      <c r="L172" s="47" t="s">
        <v>32</v>
      </c>
      <c r="M172" s="478">
        <v>1</v>
      </c>
      <c r="N172" s="478" t="s">
        <v>33</v>
      </c>
      <c r="O172" s="52" t="s">
        <v>34</v>
      </c>
      <c r="P172" s="48">
        <f>SUM(J172*M172)</f>
        <v>1500000</v>
      </c>
      <c r="Q172" s="49" t="s">
        <v>23</v>
      </c>
    </row>
    <row r="173" spans="1:17" ht="15.95" customHeight="1">
      <c r="A173" s="227"/>
      <c r="B173" s="43"/>
      <c r="C173" s="634"/>
      <c r="D173" s="687"/>
      <c r="E173" s="690"/>
      <c r="F173" s="693"/>
      <c r="G173" s="653"/>
      <c r="H173" s="655"/>
      <c r="I173" s="342" t="s">
        <v>349</v>
      </c>
      <c r="J173" s="316"/>
      <c r="K173" s="317"/>
      <c r="L173" s="148"/>
      <c r="M173" s="147"/>
      <c r="N173" s="147"/>
      <c r="O173" s="149"/>
      <c r="P173" s="316">
        <f>SUM(P174:P174)</f>
        <v>1500000</v>
      </c>
      <c r="Q173" s="49" t="s">
        <v>23</v>
      </c>
    </row>
    <row r="174" spans="1:17" ht="15.95" customHeight="1">
      <c r="A174" s="227"/>
      <c r="B174" s="43"/>
      <c r="C174" s="634"/>
      <c r="D174" s="687"/>
      <c r="E174" s="690"/>
      <c r="F174" s="693"/>
      <c r="G174" s="653"/>
      <c r="H174" s="655"/>
      <c r="I174" s="327" t="s">
        <v>350</v>
      </c>
      <c r="J174" s="48">
        <v>1500000</v>
      </c>
      <c r="K174" s="67" t="s">
        <v>23</v>
      </c>
      <c r="L174" s="47" t="s">
        <v>32</v>
      </c>
      <c r="M174" s="478">
        <v>1</v>
      </c>
      <c r="N174" s="478" t="s">
        <v>33</v>
      </c>
      <c r="O174" s="52" t="s">
        <v>34</v>
      </c>
      <c r="P174" s="48">
        <f>SUM(J174*M174)</f>
        <v>1500000</v>
      </c>
      <c r="Q174" s="49" t="s">
        <v>23</v>
      </c>
    </row>
    <row r="175" spans="1:17" ht="15.95" customHeight="1">
      <c r="A175" s="227"/>
      <c r="B175" s="43"/>
      <c r="C175" s="634"/>
      <c r="D175" s="687"/>
      <c r="E175" s="690"/>
      <c r="F175" s="693"/>
      <c r="G175" s="653"/>
      <c r="H175" s="655"/>
      <c r="I175" s="694" t="s">
        <v>351</v>
      </c>
      <c r="J175" s="695"/>
      <c r="K175" s="695"/>
      <c r="L175" s="695"/>
      <c r="M175" s="695"/>
      <c r="N175" s="695"/>
      <c r="O175" s="149"/>
      <c r="P175" s="316">
        <f>SUM(P176:P177)</f>
        <v>700000</v>
      </c>
      <c r="Q175" s="49" t="s">
        <v>23</v>
      </c>
    </row>
    <row r="176" spans="1:17" ht="15.95" customHeight="1">
      <c r="A176" s="227"/>
      <c r="B176" s="43"/>
      <c r="C176" s="634"/>
      <c r="D176" s="687"/>
      <c r="E176" s="690"/>
      <c r="F176" s="693"/>
      <c r="G176" s="653"/>
      <c r="H176" s="655"/>
      <c r="I176" s="327" t="s">
        <v>352</v>
      </c>
      <c r="J176" s="72">
        <v>500000</v>
      </c>
      <c r="K176" s="107" t="s">
        <v>23</v>
      </c>
      <c r="L176" s="74" t="s">
        <v>32</v>
      </c>
      <c r="M176" s="73">
        <v>1</v>
      </c>
      <c r="N176" s="73" t="s">
        <v>33</v>
      </c>
      <c r="O176" s="75" t="s">
        <v>34</v>
      </c>
      <c r="P176" s="72">
        <f>SUM(J176*M176)</f>
        <v>500000</v>
      </c>
      <c r="Q176" s="76" t="s">
        <v>23</v>
      </c>
    </row>
    <row r="177" spans="1:17" ht="15.95" customHeight="1">
      <c r="A177" s="227"/>
      <c r="B177" s="43"/>
      <c r="C177" s="634"/>
      <c r="D177" s="687"/>
      <c r="E177" s="690"/>
      <c r="F177" s="693"/>
      <c r="G177" s="653"/>
      <c r="H177" s="655"/>
      <c r="I177" s="327" t="s">
        <v>353</v>
      </c>
      <c r="J177" s="72">
        <v>50000</v>
      </c>
      <c r="K177" s="107" t="s">
        <v>23</v>
      </c>
      <c r="L177" s="74" t="s">
        <v>32</v>
      </c>
      <c r="M177" s="73">
        <v>4</v>
      </c>
      <c r="N177" s="73" t="s">
        <v>33</v>
      </c>
      <c r="O177" s="75" t="s">
        <v>34</v>
      </c>
      <c r="P177" s="72">
        <f>SUM(J177*M177)</f>
        <v>200000</v>
      </c>
      <c r="Q177" s="76" t="s">
        <v>23</v>
      </c>
    </row>
    <row r="178" spans="1:17" ht="15.95" customHeight="1">
      <c r="A178" s="227"/>
      <c r="B178" s="43"/>
      <c r="C178" s="634"/>
      <c r="D178" s="687"/>
      <c r="E178" s="690"/>
      <c r="F178" s="693"/>
      <c r="G178" s="653"/>
      <c r="H178" s="655"/>
      <c r="I178" s="342" t="s">
        <v>354</v>
      </c>
      <c r="J178" s="316"/>
      <c r="K178" s="317"/>
      <c r="L178" s="148"/>
      <c r="M178" s="147"/>
      <c r="N178" s="147"/>
      <c r="O178" s="149"/>
      <c r="P178" s="316">
        <f>SUM(P179:P180)</f>
        <v>1500000</v>
      </c>
      <c r="Q178" s="76" t="s">
        <v>23</v>
      </c>
    </row>
    <row r="179" spans="1:17" ht="15.95" customHeight="1">
      <c r="A179" s="227"/>
      <c r="B179" s="43"/>
      <c r="C179" s="634"/>
      <c r="D179" s="687"/>
      <c r="E179" s="690"/>
      <c r="F179" s="693"/>
      <c r="G179" s="653"/>
      <c r="H179" s="655"/>
      <c r="I179" s="327" t="s">
        <v>355</v>
      </c>
      <c r="J179" s="48">
        <v>500000</v>
      </c>
      <c r="K179" s="67" t="s">
        <v>23</v>
      </c>
      <c r="L179" s="47" t="s">
        <v>32</v>
      </c>
      <c r="M179" s="478">
        <v>1</v>
      </c>
      <c r="N179" s="478" t="s">
        <v>33</v>
      </c>
      <c r="O179" s="52" t="s">
        <v>34</v>
      </c>
      <c r="P179" s="48">
        <f>SUM(J179*M179)</f>
        <v>500000</v>
      </c>
      <c r="Q179" s="49" t="s">
        <v>23</v>
      </c>
    </row>
    <row r="180" spans="1:17" ht="15.95" customHeight="1">
      <c r="A180" s="227"/>
      <c r="B180" s="43"/>
      <c r="C180" s="634"/>
      <c r="D180" s="687"/>
      <c r="E180" s="690"/>
      <c r="F180" s="693"/>
      <c r="G180" s="653"/>
      <c r="H180" s="655"/>
      <c r="I180" s="327" t="s">
        <v>356</v>
      </c>
      <c r="J180" s="48">
        <v>1000000</v>
      </c>
      <c r="K180" s="67" t="s">
        <v>23</v>
      </c>
      <c r="L180" s="47" t="s">
        <v>32</v>
      </c>
      <c r="M180" s="478">
        <v>1</v>
      </c>
      <c r="N180" s="478" t="s">
        <v>33</v>
      </c>
      <c r="O180" s="52" t="s">
        <v>34</v>
      </c>
      <c r="P180" s="48">
        <f>SUM(J180*M180)</f>
        <v>1000000</v>
      </c>
      <c r="Q180" s="49" t="s">
        <v>23</v>
      </c>
    </row>
    <row r="181" spans="1:17" ht="15.95" customHeight="1">
      <c r="A181" s="282" t="s">
        <v>316</v>
      </c>
      <c r="B181" s="331" t="s">
        <v>336</v>
      </c>
      <c r="C181" s="634"/>
      <c r="D181" s="687"/>
      <c r="E181" s="690"/>
      <c r="F181" s="693"/>
      <c r="G181" s="653"/>
      <c r="H181" s="655"/>
      <c r="I181" s="342" t="s">
        <v>357</v>
      </c>
      <c r="J181" s="316"/>
      <c r="K181" s="317"/>
      <c r="L181" s="148"/>
      <c r="M181" s="147"/>
      <c r="N181" s="147"/>
      <c r="O181" s="149"/>
      <c r="P181" s="316">
        <f>SUM(P182:P184)</f>
        <v>3000000</v>
      </c>
      <c r="Q181" s="49" t="s">
        <v>23</v>
      </c>
    </row>
    <row r="182" spans="1:17" ht="15.95" customHeight="1">
      <c r="A182" s="227"/>
      <c r="B182" s="335" t="s">
        <v>337</v>
      </c>
      <c r="C182" s="634"/>
      <c r="D182" s="687"/>
      <c r="E182" s="690"/>
      <c r="F182" s="693"/>
      <c r="G182" s="653"/>
      <c r="H182" s="655"/>
      <c r="I182" s="327" t="s">
        <v>358</v>
      </c>
      <c r="J182" s="48">
        <v>600000</v>
      </c>
      <c r="K182" s="67" t="s">
        <v>23</v>
      </c>
      <c r="L182" s="47" t="s">
        <v>32</v>
      </c>
      <c r="M182" s="478">
        <v>1</v>
      </c>
      <c r="N182" s="478" t="s">
        <v>33</v>
      </c>
      <c r="O182" s="52" t="s">
        <v>34</v>
      </c>
      <c r="P182" s="48">
        <f>SUM(J182*M182)</f>
        <v>600000</v>
      </c>
      <c r="Q182" s="49" t="s">
        <v>23</v>
      </c>
    </row>
    <row r="183" spans="1:17" ht="15.95" customHeight="1">
      <c r="A183" s="227"/>
      <c r="B183" s="335" t="s">
        <v>339</v>
      </c>
      <c r="C183" s="634"/>
      <c r="D183" s="687"/>
      <c r="E183" s="690"/>
      <c r="F183" s="693"/>
      <c r="G183" s="653"/>
      <c r="H183" s="655"/>
      <c r="I183" s="327" t="s">
        <v>359</v>
      </c>
      <c r="J183" s="48">
        <v>400000</v>
      </c>
      <c r="K183" s="67" t="s">
        <v>23</v>
      </c>
      <c r="L183" s="47" t="s">
        <v>32</v>
      </c>
      <c r="M183" s="478">
        <v>1</v>
      </c>
      <c r="N183" s="478" t="s">
        <v>33</v>
      </c>
      <c r="O183" s="52" t="s">
        <v>34</v>
      </c>
      <c r="P183" s="48">
        <f>SUM(J183*M183)</f>
        <v>400000</v>
      </c>
      <c r="Q183" s="49" t="s">
        <v>23</v>
      </c>
    </row>
    <row r="184" spans="1:17" ht="15.95" customHeight="1">
      <c r="A184" s="227"/>
      <c r="B184" s="335" t="s">
        <v>341</v>
      </c>
      <c r="C184" s="634"/>
      <c r="D184" s="687"/>
      <c r="E184" s="690"/>
      <c r="F184" s="693"/>
      <c r="G184" s="653"/>
      <c r="H184" s="655"/>
      <c r="I184" s="327" t="s">
        <v>360</v>
      </c>
      <c r="J184" s="48">
        <v>2000000</v>
      </c>
      <c r="K184" s="67" t="s">
        <v>23</v>
      </c>
      <c r="L184" s="47" t="s">
        <v>32</v>
      </c>
      <c r="M184" s="478">
        <v>1</v>
      </c>
      <c r="N184" s="478" t="s">
        <v>33</v>
      </c>
      <c r="O184" s="52" t="s">
        <v>34</v>
      </c>
      <c r="P184" s="48">
        <f>SUM(J184*M184)</f>
        <v>2000000</v>
      </c>
      <c r="Q184" s="49" t="s">
        <v>23</v>
      </c>
    </row>
    <row r="185" spans="1:17" ht="15.95" customHeight="1">
      <c r="A185" s="227"/>
      <c r="B185" s="343"/>
      <c r="C185" s="634"/>
      <c r="D185" s="687"/>
      <c r="E185" s="690"/>
      <c r="F185" s="693"/>
      <c r="G185" s="653"/>
      <c r="H185" s="655"/>
      <c r="I185" s="342" t="s">
        <v>361</v>
      </c>
      <c r="J185" s="316"/>
      <c r="K185" s="317"/>
      <c r="L185" s="148"/>
      <c r="M185" s="147"/>
      <c r="N185" s="147"/>
      <c r="O185" s="149"/>
      <c r="P185" s="316">
        <f>SUM(P186:P187)</f>
        <v>2900000</v>
      </c>
      <c r="Q185" s="49" t="s">
        <v>23</v>
      </c>
    </row>
    <row r="186" spans="1:17" ht="15.95" customHeight="1">
      <c r="A186" s="227"/>
      <c r="B186" s="343"/>
      <c r="C186" s="634"/>
      <c r="D186" s="687"/>
      <c r="E186" s="690"/>
      <c r="F186" s="693"/>
      <c r="G186" s="653"/>
      <c r="H186" s="655"/>
      <c r="I186" s="327" t="s">
        <v>362</v>
      </c>
      <c r="J186" s="48">
        <v>900000</v>
      </c>
      <c r="K186" s="67" t="s">
        <v>23</v>
      </c>
      <c r="L186" s="47" t="s">
        <v>32</v>
      </c>
      <c r="M186" s="478">
        <v>1</v>
      </c>
      <c r="N186" s="478" t="s">
        <v>33</v>
      </c>
      <c r="O186" s="52" t="s">
        <v>34</v>
      </c>
      <c r="P186" s="48">
        <f>SUM(J186*M186)</f>
        <v>900000</v>
      </c>
      <c r="Q186" s="49" t="s">
        <v>23</v>
      </c>
    </row>
    <row r="187" spans="1:17" ht="15.95" customHeight="1">
      <c r="A187" s="227"/>
      <c r="B187" s="43"/>
      <c r="C187" s="634"/>
      <c r="D187" s="687"/>
      <c r="E187" s="690"/>
      <c r="F187" s="693"/>
      <c r="G187" s="653"/>
      <c r="H187" s="655"/>
      <c r="I187" s="327" t="s">
        <v>363</v>
      </c>
      <c r="J187" s="48">
        <v>2000000</v>
      </c>
      <c r="K187" s="67" t="s">
        <v>23</v>
      </c>
      <c r="L187" s="47" t="s">
        <v>32</v>
      </c>
      <c r="M187" s="478">
        <v>1</v>
      </c>
      <c r="N187" s="478" t="s">
        <v>33</v>
      </c>
      <c r="O187" s="52" t="s">
        <v>34</v>
      </c>
      <c r="P187" s="48">
        <f>SUM(J187*M187)</f>
        <v>2000000</v>
      </c>
      <c r="Q187" s="49" t="s">
        <v>23</v>
      </c>
    </row>
    <row r="188" spans="1:17" ht="15.95" customHeight="1">
      <c r="A188" s="227"/>
      <c r="B188" s="43"/>
      <c r="C188" s="634"/>
      <c r="D188" s="687"/>
      <c r="E188" s="690"/>
      <c r="F188" s="693"/>
      <c r="G188" s="653"/>
      <c r="H188" s="655"/>
      <c r="I188" s="694" t="s">
        <v>364</v>
      </c>
      <c r="J188" s="695"/>
      <c r="K188" s="317"/>
      <c r="L188" s="148"/>
      <c r="M188" s="147"/>
      <c r="N188" s="147"/>
      <c r="O188" s="149"/>
      <c r="P188" s="316">
        <f>+P189</f>
        <v>1500000</v>
      </c>
      <c r="Q188" s="49" t="s">
        <v>23</v>
      </c>
    </row>
    <row r="189" spans="1:17" ht="15.95" customHeight="1">
      <c r="A189" s="227"/>
      <c r="B189" s="43"/>
      <c r="C189" s="634"/>
      <c r="D189" s="687"/>
      <c r="E189" s="690"/>
      <c r="F189" s="693"/>
      <c r="G189" s="653"/>
      <c r="H189" s="655"/>
      <c r="I189" s="327" t="s">
        <v>365</v>
      </c>
      <c r="J189" s="48">
        <v>1500000</v>
      </c>
      <c r="K189" s="67" t="s">
        <v>23</v>
      </c>
      <c r="L189" s="47" t="s">
        <v>32</v>
      </c>
      <c r="M189" s="478">
        <v>1</v>
      </c>
      <c r="N189" s="478" t="s">
        <v>33</v>
      </c>
      <c r="O189" s="52" t="s">
        <v>34</v>
      </c>
      <c r="P189" s="48">
        <f>SUM(J189*M189)</f>
        <v>1500000</v>
      </c>
      <c r="Q189" s="49" t="s">
        <v>23</v>
      </c>
    </row>
    <row r="190" spans="1:17" ht="15.95" customHeight="1">
      <c r="A190" s="227"/>
      <c r="B190" s="43"/>
      <c r="C190" s="634"/>
      <c r="D190" s="687"/>
      <c r="E190" s="690"/>
      <c r="F190" s="693"/>
      <c r="G190" s="653"/>
      <c r="H190" s="655"/>
      <c r="I190" s="342" t="s">
        <v>366</v>
      </c>
      <c r="J190" s="316"/>
      <c r="K190" s="317"/>
      <c r="L190" s="148"/>
      <c r="M190" s="147"/>
      <c r="N190" s="147"/>
      <c r="O190" s="149"/>
      <c r="P190" s="316">
        <f>SUM(P191:P191)</f>
        <v>600000</v>
      </c>
      <c r="Q190" s="49" t="s">
        <v>23</v>
      </c>
    </row>
    <row r="191" spans="1:17" ht="16.5" customHeight="1">
      <c r="A191" s="227"/>
      <c r="B191" s="43"/>
      <c r="C191" s="634"/>
      <c r="D191" s="687"/>
      <c r="E191" s="690"/>
      <c r="F191" s="693"/>
      <c r="G191" s="653"/>
      <c r="H191" s="655"/>
      <c r="I191" s="327" t="s">
        <v>367</v>
      </c>
      <c r="J191" s="48">
        <v>600000</v>
      </c>
      <c r="K191" s="67" t="s">
        <v>23</v>
      </c>
      <c r="L191" s="47" t="s">
        <v>32</v>
      </c>
      <c r="M191" s="478">
        <v>1</v>
      </c>
      <c r="N191" s="478" t="s">
        <v>33</v>
      </c>
      <c r="O191" s="52" t="s">
        <v>34</v>
      </c>
      <c r="P191" s="48">
        <f>SUM(J191*M191)</f>
        <v>600000</v>
      </c>
      <c r="Q191" s="49" t="s">
        <v>23</v>
      </c>
    </row>
    <row r="192" spans="1:17" ht="16.5" customHeight="1">
      <c r="A192" s="227"/>
      <c r="B192" s="43"/>
      <c r="C192" s="634"/>
      <c r="D192" s="687"/>
      <c r="E192" s="690"/>
      <c r="F192" s="497"/>
      <c r="G192" s="653"/>
      <c r="H192" s="655"/>
      <c r="I192" s="342" t="s">
        <v>368</v>
      </c>
      <c r="J192" s="48"/>
      <c r="K192" s="67"/>
      <c r="L192" s="47"/>
      <c r="M192" s="478"/>
      <c r="N192" s="478"/>
      <c r="O192" s="52"/>
      <c r="P192" s="316">
        <v>600000</v>
      </c>
      <c r="Q192" s="49" t="s">
        <v>14</v>
      </c>
    </row>
    <row r="193" spans="1:17" ht="16.5" customHeight="1">
      <c r="A193" s="227"/>
      <c r="B193" s="43"/>
      <c r="C193" s="668"/>
      <c r="D193" s="688"/>
      <c r="E193" s="691"/>
      <c r="F193" s="497"/>
      <c r="G193" s="659"/>
      <c r="H193" s="660"/>
      <c r="I193" s="344" t="s">
        <v>369</v>
      </c>
      <c r="J193" s="48">
        <v>600000</v>
      </c>
      <c r="K193" s="67" t="s">
        <v>23</v>
      </c>
      <c r="L193" s="47" t="s">
        <v>32</v>
      </c>
      <c r="M193" s="478">
        <v>1</v>
      </c>
      <c r="N193" s="478" t="s">
        <v>33</v>
      </c>
      <c r="O193" s="52" t="s">
        <v>34</v>
      </c>
      <c r="P193" s="316">
        <v>600000</v>
      </c>
      <c r="Q193" s="146" t="s">
        <v>14</v>
      </c>
    </row>
    <row r="194" spans="1:17" ht="15.95" customHeight="1">
      <c r="A194" s="227"/>
      <c r="B194" s="345"/>
      <c r="C194" s="534" t="s">
        <v>370</v>
      </c>
      <c r="D194" s="648">
        <v>2000</v>
      </c>
      <c r="E194" s="650">
        <f>+P194/1000</f>
        <v>2000</v>
      </c>
      <c r="F194" s="635">
        <v>2000</v>
      </c>
      <c r="G194" s="652">
        <f>+E194-D194</f>
        <v>0</v>
      </c>
      <c r="H194" s="654">
        <f t="shared" ref="H194:H202" si="13">+G194/D194*100</f>
        <v>0</v>
      </c>
      <c r="I194" s="346"/>
      <c r="J194" s="54"/>
      <c r="K194" s="69"/>
      <c r="L194" s="53"/>
      <c r="M194" s="528" t="s">
        <v>22</v>
      </c>
      <c r="N194" s="528"/>
      <c r="O194" s="528"/>
      <c r="P194" s="54">
        <f>+P195+P196</f>
        <v>2000000</v>
      </c>
      <c r="Q194" s="38" t="s">
        <v>14</v>
      </c>
    </row>
    <row r="195" spans="1:17" ht="15.95" customHeight="1">
      <c r="A195" s="227"/>
      <c r="B195" s="345"/>
      <c r="C195" s="535"/>
      <c r="D195" s="649"/>
      <c r="E195" s="651"/>
      <c r="F195" s="636"/>
      <c r="G195" s="653">
        <f>+E195-D195</f>
        <v>0</v>
      </c>
      <c r="H195" s="655" t="e">
        <f t="shared" si="13"/>
        <v>#DIV/0!</v>
      </c>
      <c r="I195" s="347" t="s">
        <v>371</v>
      </c>
      <c r="J195" s="48">
        <v>1000000</v>
      </c>
      <c r="K195" s="67" t="s">
        <v>23</v>
      </c>
      <c r="L195" s="47" t="s">
        <v>32</v>
      </c>
      <c r="M195" s="478">
        <v>1</v>
      </c>
      <c r="N195" s="478" t="s">
        <v>33</v>
      </c>
      <c r="O195" s="52" t="s">
        <v>34</v>
      </c>
      <c r="P195" s="48">
        <v>1000000</v>
      </c>
      <c r="Q195" s="49" t="s">
        <v>14</v>
      </c>
    </row>
    <row r="196" spans="1:17" ht="15.95" customHeight="1">
      <c r="A196" s="227"/>
      <c r="B196" s="343"/>
      <c r="C196" s="661"/>
      <c r="D196" s="657"/>
      <c r="E196" s="658"/>
      <c r="F196" s="647"/>
      <c r="G196" s="659">
        <f>+E196-D196</f>
        <v>0</v>
      </c>
      <c r="H196" s="660" t="e">
        <f t="shared" si="13"/>
        <v>#DIV/0!</v>
      </c>
      <c r="I196" s="348" t="s">
        <v>372</v>
      </c>
      <c r="J196" s="295">
        <v>1000000</v>
      </c>
      <c r="K196" s="245" t="s">
        <v>23</v>
      </c>
      <c r="L196" s="144" t="s">
        <v>32</v>
      </c>
      <c r="M196" s="143">
        <v>1</v>
      </c>
      <c r="N196" s="143" t="s">
        <v>87</v>
      </c>
      <c r="O196" s="145" t="s">
        <v>34</v>
      </c>
      <c r="P196" s="295">
        <f>SUM(J196*M196)</f>
        <v>1000000</v>
      </c>
      <c r="Q196" s="146" t="s">
        <v>23</v>
      </c>
    </row>
    <row r="197" spans="1:17" ht="15.95" customHeight="1">
      <c r="A197" s="227"/>
      <c r="B197" s="43"/>
      <c r="C197" s="684" t="s">
        <v>373</v>
      </c>
      <c r="D197" s="648">
        <v>3360</v>
      </c>
      <c r="E197" s="650">
        <f>+P197/1000</f>
        <v>360</v>
      </c>
      <c r="F197" s="635">
        <v>4390</v>
      </c>
      <c r="G197" s="652">
        <f>+E197-D197</f>
        <v>-3000</v>
      </c>
      <c r="H197" s="654">
        <f t="shared" si="13"/>
        <v>-89.285714285714292</v>
      </c>
      <c r="I197" s="239"/>
      <c r="J197" s="54"/>
      <c r="K197" s="69"/>
      <c r="L197" s="53"/>
      <c r="M197" s="528" t="s">
        <v>22</v>
      </c>
      <c r="N197" s="528"/>
      <c r="O197" s="528"/>
      <c r="P197" s="54">
        <f>SUM(P198:P199)</f>
        <v>360000</v>
      </c>
      <c r="Q197" s="38" t="s">
        <v>14</v>
      </c>
    </row>
    <row r="198" spans="1:17" ht="15.95" customHeight="1">
      <c r="A198" s="227"/>
      <c r="B198" s="43"/>
      <c r="C198" s="685"/>
      <c r="D198" s="649"/>
      <c r="E198" s="651"/>
      <c r="F198" s="636"/>
      <c r="G198" s="653"/>
      <c r="H198" s="655"/>
      <c r="I198" s="45" t="s">
        <v>374</v>
      </c>
      <c r="J198" s="48">
        <v>30000</v>
      </c>
      <c r="K198" s="67" t="s">
        <v>23</v>
      </c>
      <c r="L198" s="47" t="s">
        <v>32</v>
      </c>
      <c r="M198" s="478">
        <v>12</v>
      </c>
      <c r="N198" s="478" t="s">
        <v>33</v>
      </c>
      <c r="O198" s="52" t="s">
        <v>34</v>
      </c>
      <c r="P198" s="48">
        <f>J198*M198</f>
        <v>360000</v>
      </c>
      <c r="Q198" s="49" t="s">
        <v>23</v>
      </c>
    </row>
    <row r="199" spans="1:17" ht="15.95" customHeight="1">
      <c r="A199" s="227"/>
      <c r="B199" s="43"/>
      <c r="C199" s="685"/>
      <c r="D199" s="649"/>
      <c r="E199" s="651"/>
      <c r="F199" s="636"/>
      <c r="G199" s="653"/>
      <c r="H199" s="655"/>
      <c r="I199" s="258" t="s">
        <v>375</v>
      </c>
      <c r="J199" s="48">
        <v>0</v>
      </c>
      <c r="K199" s="67" t="s">
        <v>23</v>
      </c>
      <c r="L199" s="47" t="s">
        <v>32</v>
      </c>
      <c r="M199" s="478">
        <v>1</v>
      </c>
      <c r="N199" s="478" t="s">
        <v>33</v>
      </c>
      <c r="O199" s="52" t="s">
        <v>34</v>
      </c>
      <c r="P199" s="48">
        <f>SUM(J199*M199)</f>
        <v>0</v>
      </c>
      <c r="Q199" s="49" t="s">
        <v>23</v>
      </c>
    </row>
    <row r="200" spans="1:17" ht="20.100000000000001" customHeight="1">
      <c r="A200" s="227" t="s">
        <v>2</v>
      </c>
      <c r="B200" s="30" t="s">
        <v>376</v>
      </c>
      <c r="C200" s="491" t="s">
        <v>19</v>
      </c>
      <c r="D200" s="486">
        <f>+D201+D207+D211</f>
        <v>107705</v>
      </c>
      <c r="E200" s="469">
        <f>SUM(E201:E212)</f>
        <v>96043.49</v>
      </c>
      <c r="F200" s="489" t="e">
        <f>+#REF!+F201+F207+#REF!+F211</f>
        <v>#REF!</v>
      </c>
      <c r="G200" s="481">
        <f t="shared" ref="G200:G217" si="14">+E200-D200</f>
        <v>-11661.509999999995</v>
      </c>
      <c r="H200" s="484">
        <f t="shared" si="13"/>
        <v>-10.827268929019075</v>
      </c>
      <c r="I200" s="255"/>
      <c r="J200" s="42"/>
      <c r="K200" s="69"/>
      <c r="L200" s="53"/>
      <c r="M200" s="457"/>
      <c r="N200" s="457"/>
      <c r="O200" s="174"/>
      <c r="P200" s="42">
        <f>SUM(P201,P207,P211)</f>
        <v>96043490</v>
      </c>
      <c r="Q200" s="38" t="s">
        <v>14</v>
      </c>
    </row>
    <row r="201" spans="1:17" ht="15.95" customHeight="1">
      <c r="A201" s="227"/>
      <c r="B201" s="43"/>
      <c r="C201" s="684" t="s">
        <v>377</v>
      </c>
      <c r="D201" s="648">
        <v>55695</v>
      </c>
      <c r="E201" s="650">
        <f>+P201/1000</f>
        <v>45471.26</v>
      </c>
      <c r="F201" s="635">
        <v>14521</v>
      </c>
      <c r="G201" s="652">
        <f t="shared" si="14"/>
        <v>-10223.739999999998</v>
      </c>
      <c r="H201" s="654">
        <f t="shared" si="13"/>
        <v>-18.35665679145345</v>
      </c>
      <c r="I201" s="255"/>
      <c r="J201" s="54"/>
      <c r="K201" s="69"/>
      <c r="L201" s="53"/>
      <c r="M201" s="528" t="s">
        <v>22</v>
      </c>
      <c r="N201" s="528"/>
      <c r="O201" s="528"/>
      <c r="P201" s="54">
        <f>SUM(P202:P206)</f>
        <v>45471260</v>
      </c>
      <c r="Q201" s="38" t="s">
        <v>23</v>
      </c>
    </row>
    <row r="202" spans="1:17" ht="15.95" customHeight="1">
      <c r="A202" s="227"/>
      <c r="B202" s="43"/>
      <c r="C202" s="681"/>
      <c r="D202" s="649"/>
      <c r="E202" s="651"/>
      <c r="F202" s="636"/>
      <c r="G202" s="653">
        <f t="shared" si="14"/>
        <v>0</v>
      </c>
      <c r="H202" s="655" t="e">
        <f t="shared" si="13"/>
        <v>#DIV/0!</v>
      </c>
      <c r="I202" s="349" t="s">
        <v>378</v>
      </c>
      <c r="J202" s="72">
        <v>7638220</v>
      </c>
      <c r="K202" s="107" t="s">
        <v>23</v>
      </c>
      <c r="L202" s="74" t="s">
        <v>32</v>
      </c>
      <c r="M202" s="73">
        <v>1</v>
      </c>
      <c r="N202" s="478" t="s">
        <v>82</v>
      </c>
      <c r="O202" s="52" t="s">
        <v>34</v>
      </c>
      <c r="P202" s="48">
        <f>SUM(J202*M202)</f>
        <v>7638220</v>
      </c>
      <c r="Q202" s="49" t="s">
        <v>23</v>
      </c>
    </row>
    <row r="203" spans="1:17" ht="15.95" customHeight="1">
      <c r="A203" s="227"/>
      <c r="B203" s="43"/>
      <c r="C203" s="681"/>
      <c r="D203" s="649"/>
      <c r="E203" s="651"/>
      <c r="F203" s="636"/>
      <c r="G203" s="653"/>
      <c r="H203" s="655"/>
      <c r="I203" s="349" t="s">
        <v>379</v>
      </c>
      <c r="J203" s="72">
        <v>3332700</v>
      </c>
      <c r="K203" s="107" t="s">
        <v>14</v>
      </c>
      <c r="L203" s="74" t="s">
        <v>32</v>
      </c>
      <c r="M203" s="73">
        <v>1</v>
      </c>
      <c r="N203" s="478" t="s">
        <v>59</v>
      </c>
      <c r="O203" s="478" t="s">
        <v>27</v>
      </c>
      <c r="P203" s="48">
        <f>SUM(J203*M203)</f>
        <v>3332700</v>
      </c>
      <c r="Q203" s="49" t="s">
        <v>14</v>
      </c>
    </row>
    <row r="204" spans="1:17" ht="15.95" customHeight="1">
      <c r="A204" s="227"/>
      <c r="B204" s="43"/>
      <c r="C204" s="681"/>
      <c r="D204" s="649"/>
      <c r="E204" s="651"/>
      <c r="F204" s="636"/>
      <c r="G204" s="653"/>
      <c r="H204" s="655"/>
      <c r="I204" s="349" t="s">
        <v>380</v>
      </c>
      <c r="J204" s="72">
        <v>29771340</v>
      </c>
      <c r="K204" s="107" t="s">
        <v>23</v>
      </c>
      <c r="L204" s="74" t="s">
        <v>32</v>
      </c>
      <c r="M204" s="73">
        <v>1</v>
      </c>
      <c r="N204" s="478" t="s">
        <v>33</v>
      </c>
      <c r="O204" s="52" t="s">
        <v>34</v>
      </c>
      <c r="P204" s="48">
        <f>SUM(J204*M204)</f>
        <v>29771340</v>
      </c>
      <c r="Q204" s="49" t="s">
        <v>23</v>
      </c>
    </row>
    <row r="205" spans="1:17" ht="15.95" customHeight="1">
      <c r="A205" s="227"/>
      <c r="B205" s="43"/>
      <c r="C205" s="681"/>
      <c r="D205" s="649"/>
      <c r="E205" s="651"/>
      <c r="F205" s="636"/>
      <c r="G205" s="653"/>
      <c r="H205" s="655"/>
      <c r="I205" s="349" t="s">
        <v>381</v>
      </c>
      <c r="J205" s="72">
        <v>1570000</v>
      </c>
      <c r="K205" s="107" t="s">
        <v>23</v>
      </c>
      <c r="L205" s="74" t="s">
        <v>32</v>
      </c>
      <c r="M205" s="73">
        <v>1</v>
      </c>
      <c r="N205" s="478" t="s">
        <v>82</v>
      </c>
      <c r="O205" s="52" t="s">
        <v>34</v>
      </c>
      <c r="P205" s="48">
        <f>SUM(J205*M205)</f>
        <v>1570000</v>
      </c>
      <c r="Q205" s="49" t="s">
        <v>23</v>
      </c>
    </row>
    <row r="206" spans="1:17" ht="15.95" customHeight="1">
      <c r="A206" s="227"/>
      <c r="B206" s="43"/>
      <c r="C206" s="681"/>
      <c r="D206" s="649"/>
      <c r="E206" s="651"/>
      <c r="F206" s="636"/>
      <c r="G206" s="653"/>
      <c r="H206" s="655"/>
      <c r="I206" s="349" t="s">
        <v>382</v>
      </c>
      <c r="J206" s="72">
        <v>3159000</v>
      </c>
      <c r="K206" s="107" t="s">
        <v>14</v>
      </c>
      <c r="L206" s="74" t="s">
        <v>32</v>
      </c>
      <c r="M206" s="73">
        <v>1</v>
      </c>
      <c r="N206" s="478" t="s">
        <v>82</v>
      </c>
      <c r="O206" s="52" t="s">
        <v>34</v>
      </c>
      <c r="P206" s="48">
        <f>SUM(J206*M206)</f>
        <v>3159000</v>
      </c>
      <c r="Q206" s="49" t="s">
        <v>23</v>
      </c>
    </row>
    <row r="207" spans="1:17" ht="15.95" customHeight="1">
      <c r="A207" s="227" t="s">
        <v>2</v>
      </c>
      <c r="B207" s="43" t="s">
        <v>2</v>
      </c>
      <c r="C207" s="684" t="s">
        <v>383</v>
      </c>
      <c r="D207" s="648">
        <v>51670</v>
      </c>
      <c r="E207" s="650">
        <f>+P207/1000</f>
        <v>50232.23</v>
      </c>
      <c r="F207" s="635">
        <v>22925</v>
      </c>
      <c r="G207" s="652">
        <f t="shared" si="14"/>
        <v>-1437.7699999999968</v>
      </c>
      <c r="H207" s="654">
        <f>+G207/D207*100</f>
        <v>-2.7826011225082192</v>
      </c>
      <c r="I207" s="255"/>
      <c r="J207" s="42"/>
      <c r="K207" s="69"/>
      <c r="L207" s="53"/>
      <c r="M207" s="528" t="s">
        <v>22</v>
      </c>
      <c r="N207" s="528"/>
      <c r="O207" s="528"/>
      <c r="P207" s="42">
        <f>SUM(P208:P210)</f>
        <v>50232230</v>
      </c>
      <c r="Q207" s="38" t="s">
        <v>23</v>
      </c>
    </row>
    <row r="208" spans="1:17" ht="15.95" customHeight="1">
      <c r="A208" s="227"/>
      <c r="B208" s="43"/>
      <c r="C208" s="685"/>
      <c r="D208" s="649"/>
      <c r="E208" s="651"/>
      <c r="F208" s="636"/>
      <c r="G208" s="653"/>
      <c r="H208" s="655"/>
      <c r="I208" s="349" t="s">
        <v>384</v>
      </c>
      <c r="J208" s="72">
        <v>1052230</v>
      </c>
      <c r="K208" s="107" t="s">
        <v>23</v>
      </c>
      <c r="L208" s="74" t="s">
        <v>32</v>
      </c>
      <c r="M208" s="73">
        <v>1</v>
      </c>
      <c r="N208" s="73" t="s">
        <v>33</v>
      </c>
      <c r="O208" s="52" t="s">
        <v>34</v>
      </c>
      <c r="P208" s="48">
        <f>SUM(J208*M208)</f>
        <v>1052230</v>
      </c>
      <c r="Q208" s="49" t="s">
        <v>23</v>
      </c>
    </row>
    <row r="209" spans="1:17" ht="15.95" customHeight="1">
      <c r="A209" s="227"/>
      <c r="B209" s="43"/>
      <c r="C209" s="685"/>
      <c r="D209" s="649"/>
      <c r="E209" s="651"/>
      <c r="F209" s="636"/>
      <c r="G209" s="653"/>
      <c r="H209" s="655"/>
      <c r="I209" s="349" t="s">
        <v>385</v>
      </c>
      <c r="J209" s="72">
        <v>890000</v>
      </c>
      <c r="K209" s="107" t="s">
        <v>23</v>
      </c>
      <c r="L209" s="74" t="s">
        <v>32</v>
      </c>
      <c r="M209" s="73">
        <v>1</v>
      </c>
      <c r="N209" s="73" t="s">
        <v>33</v>
      </c>
      <c r="O209" s="52" t="s">
        <v>34</v>
      </c>
      <c r="P209" s="48">
        <f>SUM(J209*M209)</f>
        <v>890000</v>
      </c>
      <c r="Q209" s="49" t="s">
        <v>23</v>
      </c>
    </row>
    <row r="210" spans="1:17" ht="15.95" customHeight="1">
      <c r="A210" s="227"/>
      <c r="B210" s="43"/>
      <c r="C210" s="685"/>
      <c r="D210" s="649"/>
      <c r="E210" s="651"/>
      <c r="F210" s="636"/>
      <c r="G210" s="653"/>
      <c r="H210" s="655"/>
      <c r="I210" s="349" t="s">
        <v>386</v>
      </c>
      <c r="J210" s="72">
        <v>48290000</v>
      </c>
      <c r="K210" s="107" t="s">
        <v>23</v>
      </c>
      <c r="L210" s="74" t="s">
        <v>32</v>
      </c>
      <c r="M210" s="73">
        <v>1</v>
      </c>
      <c r="N210" s="73" t="s">
        <v>33</v>
      </c>
      <c r="O210" s="478" t="s">
        <v>27</v>
      </c>
      <c r="P210" s="48">
        <f>SUM(J210*M210)</f>
        <v>48290000</v>
      </c>
      <c r="Q210" s="49" t="s">
        <v>14</v>
      </c>
    </row>
    <row r="211" spans="1:17" ht="15.95" customHeight="1">
      <c r="A211" s="227"/>
      <c r="B211" s="43"/>
      <c r="C211" s="645" t="s">
        <v>387</v>
      </c>
      <c r="D211" s="648">
        <v>340</v>
      </c>
      <c r="E211" s="650">
        <f>+P211/1000</f>
        <v>340</v>
      </c>
      <c r="F211" s="635">
        <v>346</v>
      </c>
      <c r="G211" s="652">
        <f t="shared" si="14"/>
        <v>0</v>
      </c>
      <c r="H211" s="654">
        <f>+G211/D211*100</f>
        <v>0</v>
      </c>
      <c r="I211" s="255"/>
      <c r="J211" s="54"/>
      <c r="K211" s="69"/>
      <c r="L211" s="53"/>
      <c r="M211" s="528" t="s">
        <v>22</v>
      </c>
      <c r="N211" s="528"/>
      <c r="O211" s="528"/>
      <c r="P211" s="54">
        <f>SUM(P212:P212)</f>
        <v>340000</v>
      </c>
      <c r="Q211" s="38" t="s">
        <v>23</v>
      </c>
    </row>
    <row r="212" spans="1:17" ht="19.5" customHeight="1">
      <c r="A212" s="227"/>
      <c r="B212" s="270"/>
      <c r="C212" s="646"/>
      <c r="D212" s="657"/>
      <c r="E212" s="658"/>
      <c r="F212" s="647"/>
      <c r="G212" s="659"/>
      <c r="H212" s="660"/>
      <c r="I212" s="256" t="s">
        <v>388</v>
      </c>
      <c r="J212" s="295">
        <v>170000</v>
      </c>
      <c r="K212" s="245" t="s">
        <v>23</v>
      </c>
      <c r="L212" s="144" t="s">
        <v>32</v>
      </c>
      <c r="M212" s="143">
        <v>2</v>
      </c>
      <c r="N212" s="143" t="s">
        <v>33</v>
      </c>
      <c r="O212" s="145" t="s">
        <v>34</v>
      </c>
      <c r="P212" s="295">
        <f>SUM(J212*M212)</f>
        <v>340000</v>
      </c>
      <c r="Q212" s="146" t="s">
        <v>23</v>
      </c>
    </row>
    <row r="213" spans="1:17" ht="20.100000000000001" customHeight="1">
      <c r="A213" s="282" t="s">
        <v>316</v>
      </c>
      <c r="B213" s="30" t="s">
        <v>389</v>
      </c>
      <c r="C213" s="491" t="s">
        <v>19</v>
      </c>
      <c r="D213" s="486">
        <f>SUM(D214:D230)</f>
        <v>42700</v>
      </c>
      <c r="E213" s="469">
        <f>SUM(E214:E230)</f>
        <v>44410</v>
      </c>
      <c r="F213" s="489">
        <f>SUM(F214:F230)</f>
        <v>24871</v>
      </c>
      <c r="G213" s="481">
        <f t="shared" si="14"/>
        <v>1710</v>
      </c>
      <c r="H213" s="484">
        <f>+G213/D213*100</f>
        <v>4.0046838407494141</v>
      </c>
      <c r="I213" s="315"/>
      <c r="J213" s="168"/>
      <c r="K213" s="61"/>
      <c r="L213" s="169"/>
      <c r="M213" s="459"/>
      <c r="N213" s="459"/>
      <c r="O213" s="170"/>
      <c r="P213" s="168">
        <f>SUM(P214,P219,P223,P229)</f>
        <v>44410000</v>
      </c>
      <c r="Q213" s="98" t="s">
        <v>14</v>
      </c>
    </row>
    <row r="214" spans="1:17" ht="15.95" customHeight="1">
      <c r="A214" s="227"/>
      <c r="B214" s="43"/>
      <c r="C214" s="645" t="s">
        <v>390</v>
      </c>
      <c r="D214" s="648">
        <v>18300</v>
      </c>
      <c r="E214" s="650">
        <v>16300</v>
      </c>
      <c r="F214" s="635">
        <v>300</v>
      </c>
      <c r="G214" s="652">
        <f t="shared" si="14"/>
        <v>-2000</v>
      </c>
      <c r="H214" s="654">
        <f>+G214/D214*100</f>
        <v>-10.928961748633879</v>
      </c>
      <c r="I214" s="255"/>
      <c r="J214" s="42"/>
      <c r="K214" s="69"/>
      <c r="L214" s="53"/>
      <c r="M214" s="528" t="s">
        <v>22</v>
      </c>
      <c r="N214" s="528"/>
      <c r="O214" s="528"/>
      <c r="P214" s="42">
        <f>SUM(P215:P218)</f>
        <v>16300000</v>
      </c>
      <c r="Q214" s="38" t="s">
        <v>23</v>
      </c>
    </row>
    <row r="215" spans="1:17" ht="15.95" customHeight="1">
      <c r="A215" s="227"/>
      <c r="B215" s="43"/>
      <c r="C215" s="681"/>
      <c r="D215" s="649"/>
      <c r="E215" s="651"/>
      <c r="F215" s="636"/>
      <c r="G215" s="653">
        <f t="shared" si="14"/>
        <v>0</v>
      </c>
      <c r="H215" s="655" t="e">
        <f>+G215/D215*100</f>
        <v>#DIV/0!</v>
      </c>
      <c r="I215" s="258" t="s">
        <v>391</v>
      </c>
      <c r="J215" s="72">
        <v>10000000</v>
      </c>
      <c r="K215" s="67" t="s">
        <v>23</v>
      </c>
      <c r="L215" s="47" t="s">
        <v>32</v>
      </c>
      <c r="M215" s="478">
        <v>1</v>
      </c>
      <c r="N215" s="478" t="s">
        <v>33</v>
      </c>
      <c r="O215" s="52" t="s">
        <v>34</v>
      </c>
      <c r="P215" s="48">
        <f>SUM(J215*M215)</f>
        <v>10000000</v>
      </c>
      <c r="Q215" s="49" t="s">
        <v>23</v>
      </c>
    </row>
    <row r="216" spans="1:17" ht="15.95" customHeight="1">
      <c r="A216" s="227"/>
      <c r="B216" s="43"/>
      <c r="C216" s="681"/>
      <c r="D216" s="649"/>
      <c r="E216" s="651"/>
      <c r="F216" s="636"/>
      <c r="G216" s="653"/>
      <c r="H216" s="655"/>
      <c r="I216" s="258" t="s">
        <v>392</v>
      </c>
      <c r="J216" s="72">
        <v>4000000</v>
      </c>
      <c r="K216" s="67" t="s">
        <v>23</v>
      </c>
      <c r="L216" s="47" t="s">
        <v>32</v>
      </c>
      <c r="M216" s="478">
        <v>1</v>
      </c>
      <c r="N216" s="478" t="s">
        <v>33</v>
      </c>
      <c r="O216" s="52" t="s">
        <v>34</v>
      </c>
      <c r="P216" s="48">
        <f>SUM(J216*M216)</f>
        <v>4000000</v>
      </c>
      <c r="Q216" s="49" t="s">
        <v>23</v>
      </c>
    </row>
    <row r="217" spans="1:17" ht="15.95" customHeight="1">
      <c r="A217" s="227"/>
      <c r="B217" s="43"/>
      <c r="C217" s="681"/>
      <c r="D217" s="649"/>
      <c r="E217" s="651"/>
      <c r="F217" s="636"/>
      <c r="G217" s="653">
        <f t="shared" si="14"/>
        <v>0</v>
      </c>
      <c r="H217" s="655" t="e">
        <f>+G217/D217*100</f>
        <v>#DIV/0!</v>
      </c>
      <c r="I217" s="258" t="s">
        <v>393</v>
      </c>
      <c r="J217" s="72">
        <v>1800000</v>
      </c>
      <c r="K217" s="67" t="s">
        <v>14</v>
      </c>
      <c r="L217" s="47" t="s">
        <v>32</v>
      </c>
      <c r="M217" s="478">
        <v>1</v>
      </c>
      <c r="N217" s="478" t="s">
        <v>33</v>
      </c>
      <c r="O217" s="52" t="s">
        <v>34</v>
      </c>
      <c r="P217" s="48">
        <f>SUM(J217*M217)</f>
        <v>1800000</v>
      </c>
      <c r="Q217" s="49" t="s">
        <v>14</v>
      </c>
    </row>
    <row r="218" spans="1:17" ht="15.95" customHeight="1">
      <c r="A218" s="227"/>
      <c r="B218" s="43"/>
      <c r="C218" s="681"/>
      <c r="D218" s="649"/>
      <c r="E218" s="651"/>
      <c r="F218" s="647"/>
      <c r="G218" s="653"/>
      <c r="H218" s="655"/>
      <c r="I218" s="258" t="s">
        <v>394</v>
      </c>
      <c r="J218" s="72">
        <v>500000</v>
      </c>
      <c r="K218" s="67" t="s">
        <v>23</v>
      </c>
      <c r="L218" s="47" t="s">
        <v>32</v>
      </c>
      <c r="M218" s="478">
        <v>1</v>
      </c>
      <c r="N218" s="478" t="s">
        <v>82</v>
      </c>
      <c r="O218" s="52" t="s">
        <v>34</v>
      </c>
      <c r="P218" s="48">
        <f>SUM(J218*M218)</f>
        <v>500000</v>
      </c>
      <c r="Q218" s="49" t="s">
        <v>23</v>
      </c>
    </row>
    <row r="219" spans="1:17" ht="15.95" customHeight="1">
      <c r="A219" s="227"/>
      <c r="B219" s="43"/>
      <c r="C219" s="645" t="s">
        <v>395</v>
      </c>
      <c r="D219" s="648">
        <v>4500</v>
      </c>
      <c r="E219" s="650">
        <f>+P219/1000</f>
        <v>3500</v>
      </c>
      <c r="F219" s="635">
        <v>2900</v>
      </c>
      <c r="G219" s="652">
        <f>+E219-D219</f>
        <v>-1000</v>
      </c>
      <c r="H219" s="654">
        <f>+G219/D219*100</f>
        <v>-22.222222222222221</v>
      </c>
      <c r="I219" s="255"/>
      <c r="J219" s="54"/>
      <c r="K219" s="69"/>
      <c r="L219" s="53"/>
      <c r="M219" s="528" t="s">
        <v>22</v>
      </c>
      <c r="N219" s="528"/>
      <c r="O219" s="528"/>
      <c r="P219" s="54">
        <f>SUM(P220:P222)</f>
        <v>3500000</v>
      </c>
      <c r="Q219" s="38" t="s">
        <v>23</v>
      </c>
    </row>
    <row r="220" spans="1:17" ht="15.95" customHeight="1">
      <c r="A220" s="227"/>
      <c r="B220" s="43"/>
      <c r="C220" s="681"/>
      <c r="D220" s="649"/>
      <c r="E220" s="651"/>
      <c r="F220" s="636"/>
      <c r="G220" s="653">
        <f>+E220-D220</f>
        <v>0</v>
      </c>
      <c r="H220" s="682" t="e">
        <f>+G220/D220*100</f>
        <v>#DIV/0!</v>
      </c>
      <c r="I220" s="258" t="s">
        <v>396</v>
      </c>
      <c r="J220" s="48">
        <v>900000</v>
      </c>
      <c r="K220" s="67" t="s">
        <v>23</v>
      </c>
      <c r="L220" s="47" t="s">
        <v>32</v>
      </c>
      <c r="M220" s="478">
        <v>2</v>
      </c>
      <c r="N220" s="478" t="s">
        <v>33</v>
      </c>
      <c r="O220" s="52" t="s">
        <v>34</v>
      </c>
      <c r="P220" s="48">
        <f>SUM(J220*M220)</f>
        <v>1800000</v>
      </c>
      <c r="Q220" s="49" t="s">
        <v>23</v>
      </c>
    </row>
    <row r="221" spans="1:17" ht="15.95" customHeight="1">
      <c r="A221" s="227"/>
      <c r="B221" s="43"/>
      <c r="C221" s="681"/>
      <c r="D221" s="649"/>
      <c r="E221" s="651"/>
      <c r="F221" s="636"/>
      <c r="G221" s="653"/>
      <c r="H221" s="682"/>
      <c r="I221" s="258" t="s">
        <v>397</v>
      </c>
      <c r="J221" s="48">
        <v>50000</v>
      </c>
      <c r="K221" s="67" t="s">
        <v>14</v>
      </c>
      <c r="L221" s="47" t="s">
        <v>32</v>
      </c>
      <c r="M221" s="478">
        <v>4</v>
      </c>
      <c r="N221" s="478" t="s">
        <v>33</v>
      </c>
      <c r="O221" s="52" t="s">
        <v>27</v>
      </c>
      <c r="P221" s="48">
        <f>SUM(J221*M221)</f>
        <v>200000</v>
      </c>
      <c r="Q221" s="49" t="s">
        <v>14</v>
      </c>
    </row>
    <row r="222" spans="1:17" ht="15.95" customHeight="1">
      <c r="A222" s="227"/>
      <c r="B222" s="43"/>
      <c r="C222" s="646"/>
      <c r="D222" s="657"/>
      <c r="E222" s="658"/>
      <c r="F222" s="647"/>
      <c r="G222" s="659">
        <f>+E222-D222</f>
        <v>0</v>
      </c>
      <c r="H222" s="683" t="e">
        <f>+G222/D222*100</f>
        <v>#DIV/0!</v>
      </c>
      <c r="I222" s="256" t="s">
        <v>398</v>
      </c>
      <c r="J222" s="295">
        <v>1500000</v>
      </c>
      <c r="K222" s="245" t="s">
        <v>23</v>
      </c>
      <c r="L222" s="144" t="s">
        <v>32</v>
      </c>
      <c r="M222" s="143">
        <v>1</v>
      </c>
      <c r="N222" s="143" t="s">
        <v>33</v>
      </c>
      <c r="O222" s="145" t="s">
        <v>34</v>
      </c>
      <c r="P222" s="295">
        <f>SUM(J222*M222)</f>
        <v>1500000</v>
      </c>
      <c r="Q222" s="146" t="s">
        <v>23</v>
      </c>
    </row>
    <row r="223" spans="1:17" ht="15.95" customHeight="1">
      <c r="A223" s="329"/>
      <c r="B223" s="43"/>
      <c r="C223" s="642" t="s">
        <v>399</v>
      </c>
      <c r="D223" s="648">
        <v>16900</v>
      </c>
      <c r="E223" s="650">
        <f>+P223/1000</f>
        <v>18610</v>
      </c>
      <c r="F223" s="635">
        <v>13620</v>
      </c>
      <c r="G223" s="652">
        <f>+E223-D223</f>
        <v>1710</v>
      </c>
      <c r="H223" s="654">
        <f>+G223/D223*100</f>
        <v>10.118343195266272</v>
      </c>
      <c r="I223" s="255"/>
      <c r="J223" s="54"/>
      <c r="K223" s="69"/>
      <c r="L223" s="53"/>
      <c r="M223" s="528" t="s">
        <v>22</v>
      </c>
      <c r="N223" s="528"/>
      <c r="O223" s="528"/>
      <c r="P223" s="54">
        <f>SUM(P224:P228)</f>
        <v>18610000</v>
      </c>
      <c r="Q223" s="38" t="s">
        <v>23</v>
      </c>
    </row>
    <row r="224" spans="1:17" ht="15.95" customHeight="1">
      <c r="A224" s="329"/>
      <c r="B224" s="43"/>
      <c r="C224" s="643"/>
      <c r="D224" s="649"/>
      <c r="E224" s="651"/>
      <c r="F224" s="636"/>
      <c r="G224" s="653"/>
      <c r="H224" s="655"/>
      <c r="I224" s="521" t="s">
        <v>400</v>
      </c>
      <c r="J224" s="72">
        <v>5230000</v>
      </c>
      <c r="K224" s="67" t="s">
        <v>23</v>
      </c>
      <c r="L224" s="47" t="s">
        <v>32</v>
      </c>
      <c r="M224" s="478">
        <v>2</v>
      </c>
      <c r="N224" s="478" t="s">
        <v>33</v>
      </c>
      <c r="O224" s="52" t="s">
        <v>34</v>
      </c>
      <c r="P224" s="48">
        <f>SUM(J224*M224)</f>
        <v>10460000</v>
      </c>
      <c r="Q224" s="49" t="s">
        <v>23</v>
      </c>
    </row>
    <row r="225" spans="1:17" ht="15.95" customHeight="1">
      <c r="A225" s="329"/>
      <c r="B225" s="43"/>
      <c r="C225" s="643"/>
      <c r="D225" s="649"/>
      <c r="E225" s="651"/>
      <c r="F225" s="636"/>
      <c r="G225" s="653"/>
      <c r="H225" s="655"/>
      <c r="I225" s="122" t="s">
        <v>401</v>
      </c>
      <c r="J225" s="72">
        <v>6500000</v>
      </c>
      <c r="K225" s="67" t="s">
        <v>23</v>
      </c>
      <c r="L225" s="47" t="s">
        <v>32</v>
      </c>
      <c r="M225" s="478">
        <v>1</v>
      </c>
      <c r="N225" s="478" t="s">
        <v>33</v>
      </c>
      <c r="O225" s="52" t="s">
        <v>34</v>
      </c>
      <c r="P225" s="48">
        <f>SUM(J225*M225)</f>
        <v>6500000</v>
      </c>
      <c r="Q225" s="49" t="s">
        <v>23</v>
      </c>
    </row>
    <row r="226" spans="1:17" ht="15.95" customHeight="1">
      <c r="A226" s="329"/>
      <c r="B226" s="43"/>
      <c r="C226" s="643"/>
      <c r="D226" s="649"/>
      <c r="E226" s="651"/>
      <c r="F226" s="636"/>
      <c r="G226" s="653"/>
      <c r="H226" s="655"/>
      <c r="I226" s="122" t="s">
        <v>402</v>
      </c>
      <c r="J226" s="72">
        <v>50000</v>
      </c>
      <c r="K226" s="67" t="s">
        <v>14</v>
      </c>
      <c r="L226" s="47" t="s">
        <v>32</v>
      </c>
      <c r="M226" s="478">
        <v>1</v>
      </c>
      <c r="N226" s="478" t="s">
        <v>42</v>
      </c>
      <c r="O226" s="52" t="s">
        <v>27</v>
      </c>
      <c r="P226" s="48">
        <f>SUM(J226*M226)</f>
        <v>50000</v>
      </c>
      <c r="Q226" s="49" t="s">
        <v>23</v>
      </c>
    </row>
    <row r="227" spans="1:17" ht="15.95" customHeight="1">
      <c r="A227" s="329"/>
      <c r="B227" s="43"/>
      <c r="C227" s="643"/>
      <c r="D227" s="649"/>
      <c r="E227" s="651"/>
      <c r="F227" s="636"/>
      <c r="G227" s="653"/>
      <c r="H227" s="655"/>
      <c r="I227" s="122" t="s">
        <v>403</v>
      </c>
      <c r="J227" s="72">
        <v>550000</v>
      </c>
      <c r="K227" s="67" t="s">
        <v>23</v>
      </c>
      <c r="L227" s="47" t="s">
        <v>32</v>
      </c>
      <c r="M227" s="478">
        <v>2</v>
      </c>
      <c r="N227" s="478" t="s">
        <v>33</v>
      </c>
      <c r="O227" s="52" t="s">
        <v>34</v>
      </c>
      <c r="P227" s="48">
        <f>SUM(J227*M227)</f>
        <v>1100000</v>
      </c>
      <c r="Q227" s="49" t="s">
        <v>23</v>
      </c>
    </row>
    <row r="228" spans="1:17" ht="15.95" customHeight="1">
      <c r="A228" s="329"/>
      <c r="B228" s="43"/>
      <c r="C228" s="644"/>
      <c r="D228" s="657"/>
      <c r="E228" s="658"/>
      <c r="F228" s="490"/>
      <c r="G228" s="659"/>
      <c r="H228" s="660"/>
      <c r="I228" s="122" t="s">
        <v>404</v>
      </c>
      <c r="J228" s="72">
        <v>500000</v>
      </c>
      <c r="K228" s="67" t="s">
        <v>23</v>
      </c>
      <c r="L228" s="47" t="s">
        <v>32</v>
      </c>
      <c r="M228" s="478">
        <v>1</v>
      </c>
      <c r="N228" s="478" t="s">
        <v>82</v>
      </c>
      <c r="O228" s="52" t="s">
        <v>34</v>
      </c>
      <c r="P228" s="48">
        <f>SUM(J228*M228)</f>
        <v>500000</v>
      </c>
      <c r="Q228" s="49" t="s">
        <v>23</v>
      </c>
    </row>
    <row r="229" spans="1:17" ht="15.95" customHeight="1">
      <c r="A229" s="227"/>
      <c r="B229" s="43"/>
      <c r="C229" s="642" t="s">
        <v>405</v>
      </c>
      <c r="D229" s="648">
        <v>3000</v>
      </c>
      <c r="E229" s="650">
        <f>P229/1000</f>
        <v>6000</v>
      </c>
      <c r="F229" s="350">
        <v>8051</v>
      </c>
      <c r="G229" s="652">
        <f>+E229-D229</f>
        <v>3000</v>
      </c>
      <c r="H229" s="679">
        <f>G229/D229*100</f>
        <v>100</v>
      </c>
      <c r="I229" s="255"/>
      <c r="J229" s="54"/>
      <c r="K229" s="69"/>
      <c r="L229" s="53"/>
      <c r="M229" s="528" t="s">
        <v>22</v>
      </c>
      <c r="N229" s="528"/>
      <c r="O229" s="528"/>
      <c r="P229" s="54">
        <f>SUM(P230)</f>
        <v>6000000</v>
      </c>
      <c r="Q229" s="38" t="s">
        <v>23</v>
      </c>
    </row>
    <row r="230" spans="1:17" ht="15.95" customHeight="1">
      <c r="A230" s="227"/>
      <c r="B230" s="43"/>
      <c r="C230" s="644"/>
      <c r="D230" s="657"/>
      <c r="E230" s="658"/>
      <c r="F230" s="351"/>
      <c r="G230" s="659"/>
      <c r="H230" s="680"/>
      <c r="I230" s="122" t="s">
        <v>406</v>
      </c>
      <c r="J230" s="72">
        <v>3000000</v>
      </c>
      <c r="K230" s="67" t="s">
        <v>23</v>
      </c>
      <c r="L230" s="47" t="s">
        <v>32</v>
      </c>
      <c r="M230" s="478">
        <v>2</v>
      </c>
      <c r="N230" s="478" t="s">
        <v>33</v>
      </c>
      <c r="O230" s="52" t="s">
        <v>34</v>
      </c>
      <c r="P230" s="48">
        <f>SUM(J230*M230)</f>
        <v>6000000</v>
      </c>
      <c r="Q230" s="49" t="s">
        <v>23</v>
      </c>
    </row>
    <row r="231" spans="1:17" ht="20.100000000000001" customHeight="1">
      <c r="A231" s="227"/>
      <c r="B231" s="30" t="s">
        <v>407</v>
      </c>
      <c r="C231" s="292" t="s">
        <v>19</v>
      </c>
      <c r="D231" s="500">
        <f>SUM(D232:D239)</f>
        <v>40100</v>
      </c>
      <c r="E231" s="501">
        <f>SUM(E232:E239)</f>
        <v>40100</v>
      </c>
      <c r="F231" s="498">
        <f>SUM(F232:F239)</f>
        <v>18973</v>
      </c>
      <c r="G231" s="502">
        <f>+E231-D231</f>
        <v>0</v>
      </c>
      <c r="H231" s="352">
        <f>+G231/D231*100</f>
        <v>0</v>
      </c>
      <c r="I231" s="294"/>
      <c r="J231" s="168"/>
      <c r="K231" s="61"/>
      <c r="L231" s="169"/>
      <c r="M231" s="459"/>
      <c r="N231" s="459"/>
      <c r="O231" s="170"/>
      <c r="P231" s="168">
        <f>SUM(P232,P235)</f>
        <v>40100000</v>
      </c>
      <c r="Q231" s="98" t="s">
        <v>14</v>
      </c>
    </row>
    <row r="232" spans="1:17" ht="15.95" customHeight="1">
      <c r="A232" s="227"/>
      <c r="B232" s="43"/>
      <c r="C232" s="678" t="s">
        <v>408</v>
      </c>
      <c r="D232" s="649">
        <v>15400</v>
      </c>
      <c r="E232" s="651">
        <f>+P232/1000</f>
        <v>15400</v>
      </c>
      <c r="F232" s="635">
        <v>18973</v>
      </c>
      <c r="G232" s="653">
        <f>+E232-D232</f>
        <v>0</v>
      </c>
      <c r="H232" s="655">
        <f>+G232/D232*100</f>
        <v>0</v>
      </c>
      <c r="I232" s="255"/>
      <c r="J232" s="54"/>
      <c r="K232" s="69"/>
      <c r="L232" s="53"/>
      <c r="M232" s="528" t="s">
        <v>22</v>
      </c>
      <c r="N232" s="528"/>
      <c r="O232" s="528"/>
      <c r="P232" s="54">
        <f>SUM(P233:P234)</f>
        <v>15400000</v>
      </c>
      <c r="Q232" s="38" t="s">
        <v>23</v>
      </c>
    </row>
    <row r="233" spans="1:17" ht="15.95" customHeight="1">
      <c r="A233" s="227"/>
      <c r="B233" s="43"/>
      <c r="C233" s="678"/>
      <c r="D233" s="649"/>
      <c r="E233" s="651"/>
      <c r="F233" s="636"/>
      <c r="G233" s="653"/>
      <c r="H233" s="655"/>
      <c r="I233" s="258" t="s">
        <v>409</v>
      </c>
      <c r="J233" s="48">
        <v>400000</v>
      </c>
      <c r="K233" s="67" t="s">
        <v>14</v>
      </c>
      <c r="L233" s="47" t="s">
        <v>32</v>
      </c>
      <c r="M233" s="478">
        <v>1</v>
      </c>
      <c r="N233" s="478" t="s">
        <v>42</v>
      </c>
      <c r="O233" s="478" t="s">
        <v>27</v>
      </c>
      <c r="P233" s="48">
        <v>400000</v>
      </c>
      <c r="Q233" s="38" t="s">
        <v>23</v>
      </c>
    </row>
    <row r="234" spans="1:17" ht="15.95" customHeight="1">
      <c r="A234" s="227"/>
      <c r="B234" s="43"/>
      <c r="C234" s="678"/>
      <c r="D234" s="649"/>
      <c r="E234" s="651"/>
      <c r="F234" s="636"/>
      <c r="G234" s="653"/>
      <c r="H234" s="655"/>
      <c r="I234" s="258" t="s">
        <v>410</v>
      </c>
      <c r="J234" s="48">
        <v>15000000</v>
      </c>
      <c r="K234" s="67" t="s">
        <v>14</v>
      </c>
      <c r="L234" s="47" t="s">
        <v>32</v>
      </c>
      <c r="M234" s="478">
        <v>1</v>
      </c>
      <c r="N234" s="478" t="s">
        <v>42</v>
      </c>
      <c r="O234" s="478" t="s">
        <v>27</v>
      </c>
      <c r="P234" s="48">
        <f>SUM(J234*M234)</f>
        <v>15000000</v>
      </c>
      <c r="Q234" s="49" t="s">
        <v>14</v>
      </c>
    </row>
    <row r="235" spans="1:17" ht="15.95" customHeight="1">
      <c r="A235" s="227"/>
      <c r="B235" s="43"/>
      <c r="C235" s="633" t="s">
        <v>411</v>
      </c>
      <c r="D235" s="670">
        <v>24700</v>
      </c>
      <c r="E235" s="672">
        <f>+P235/1000</f>
        <v>24700</v>
      </c>
      <c r="F235" s="674">
        <v>0</v>
      </c>
      <c r="G235" s="652">
        <f>+E235-D235</f>
        <v>0</v>
      </c>
      <c r="H235" s="676">
        <f>G235/D235*100</f>
        <v>0</v>
      </c>
      <c r="I235" s="353"/>
      <c r="J235" s="121"/>
      <c r="K235" s="354"/>
      <c r="L235" s="137"/>
      <c r="M235" s="558" t="s">
        <v>40</v>
      </c>
      <c r="N235" s="558"/>
      <c r="O235" s="558"/>
      <c r="P235" s="121">
        <f>SUM(P236:P239)</f>
        <v>24700000</v>
      </c>
      <c r="Q235" s="113" t="s">
        <v>14</v>
      </c>
    </row>
    <row r="236" spans="1:17" ht="15.95" customHeight="1">
      <c r="A236" s="227"/>
      <c r="B236" s="43"/>
      <c r="C236" s="634"/>
      <c r="D236" s="671"/>
      <c r="E236" s="673"/>
      <c r="F236" s="675"/>
      <c r="G236" s="653"/>
      <c r="H236" s="677"/>
      <c r="I236" s="122" t="s">
        <v>412</v>
      </c>
      <c r="J236" s="72">
        <v>200000</v>
      </c>
      <c r="K236" s="107" t="s">
        <v>14</v>
      </c>
      <c r="L236" s="74" t="s">
        <v>32</v>
      </c>
      <c r="M236" s="73">
        <v>12</v>
      </c>
      <c r="N236" s="73" t="s">
        <v>42</v>
      </c>
      <c r="O236" s="75" t="s">
        <v>34</v>
      </c>
      <c r="P236" s="72">
        <f>SUM(J236*M236)</f>
        <v>2400000</v>
      </c>
      <c r="Q236" s="76" t="s">
        <v>14</v>
      </c>
    </row>
    <row r="237" spans="1:17" ht="15.95" customHeight="1">
      <c r="A237" s="227"/>
      <c r="B237" s="43"/>
      <c r="C237" s="634"/>
      <c r="D237" s="671"/>
      <c r="E237" s="673"/>
      <c r="F237" s="675"/>
      <c r="G237" s="653"/>
      <c r="H237" s="677"/>
      <c r="I237" s="122" t="s">
        <v>413</v>
      </c>
      <c r="J237" s="72">
        <v>10000000</v>
      </c>
      <c r="K237" s="107" t="s">
        <v>14</v>
      </c>
      <c r="L237" s="74" t="s">
        <v>32</v>
      </c>
      <c r="M237" s="73">
        <v>2</v>
      </c>
      <c r="N237" s="73" t="s">
        <v>42</v>
      </c>
      <c r="O237" s="75" t="s">
        <v>34</v>
      </c>
      <c r="P237" s="72">
        <f>SUM(J237*M237)</f>
        <v>20000000</v>
      </c>
      <c r="Q237" s="76" t="s">
        <v>14</v>
      </c>
    </row>
    <row r="238" spans="1:17" ht="15.95" customHeight="1">
      <c r="A238" s="227"/>
      <c r="B238" s="43"/>
      <c r="C238" s="634"/>
      <c r="D238" s="671"/>
      <c r="E238" s="673"/>
      <c r="F238" s="675"/>
      <c r="G238" s="653"/>
      <c r="H238" s="677"/>
      <c r="I238" s="122" t="s">
        <v>414</v>
      </c>
      <c r="J238" s="72">
        <v>1000000</v>
      </c>
      <c r="K238" s="107" t="s">
        <v>14</v>
      </c>
      <c r="L238" s="74"/>
      <c r="M238" s="73">
        <v>2</v>
      </c>
      <c r="N238" s="73" t="s">
        <v>42</v>
      </c>
      <c r="O238" s="75"/>
      <c r="P238" s="72">
        <v>2000000</v>
      </c>
      <c r="Q238" s="76" t="s">
        <v>14</v>
      </c>
    </row>
    <row r="239" spans="1:17" ht="15.95" customHeight="1">
      <c r="A239" s="227"/>
      <c r="B239" s="43"/>
      <c r="C239" s="634"/>
      <c r="D239" s="671"/>
      <c r="E239" s="673"/>
      <c r="F239" s="675"/>
      <c r="G239" s="653"/>
      <c r="H239" s="677"/>
      <c r="I239" s="122" t="s">
        <v>415</v>
      </c>
      <c r="J239" s="72">
        <v>50000</v>
      </c>
      <c r="K239" s="107" t="s">
        <v>14</v>
      </c>
      <c r="L239" s="74" t="s">
        <v>32</v>
      </c>
      <c r="M239" s="73">
        <v>6</v>
      </c>
      <c r="N239" s="73" t="s">
        <v>42</v>
      </c>
      <c r="O239" s="75" t="s">
        <v>34</v>
      </c>
      <c r="P239" s="72">
        <f>SUM(J239*M239)</f>
        <v>300000</v>
      </c>
      <c r="Q239" s="76" t="s">
        <v>14</v>
      </c>
    </row>
    <row r="240" spans="1:17" ht="20.100000000000001" customHeight="1">
      <c r="A240" s="227"/>
      <c r="B240" s="355" t="s">
        <v>416</v>
      </c>
      <c r="C240" s="356" t="s">
        <v>19</v>
      </c>
      <c r="D240" s="501">
        <f>SUM(D241:D257)</f>
        <v>77970</v>
      </c>
      <c r="E240" s="501">
        <f>SUM(E241:E257)</f>
        <v>76570</v>
      </c>
      <c r="F240" s="357" t="e">
        <f>SUM(#REF!)</f>
        <v>#REF!</v>
      </c>
      <c r="G240" s="501">
        <f>+E240-D240</f>
        <v>-1400</v>
      </c>
      <c r="H240" s="358">
        <f>+G240/D240*100</f>
        <v>-1.7955623957932538</v>
      </c>
      <c r="I240" s="315"/>
      <c r="J240" s="168"/>
      <c r="K240" s="61"/>
      <c r="L240" s="169"/>
      <c r="M240" s="459"/>
      <c r="N240" s="459"/>
      <c r="O240" s="170"/>
      <c r="P240" s="359">
        <f>SUM(P241,P248,P252,P256)</f>
        <v>76570000</v>
      </c>
      <c r="Q240" s="63" t="s">
        <v>14</v>
      </c>
    </row>
    <row r="241" spans="1:17" ht="15.95" customHeight="1">
      <c r="A241" s="227"/>
      <c r="B241" s="360"/>
      <c r="C241" s="633" t="s">
        <v>417</v>
      </c>
      <c r="D241" s="616">
        <v>39400</v>
      </c>
      <c r="E241" s="552">
        <f>+P241/1000</f>
        <v>35600</v>
      </c>
      <c r="F241" s="635">
        <v>661</v>
      </c>
      <c r="G241" s="652">
        <f>+E241-D241</f>
        <v>-3800</v>
      </c>
      <c r="H241" s="640">
        <f>G241/D241*100</f>
        <v>-9.6446700507614214</v>
      </c>
      <c r="I241" s="239"/>
      <c r="J241" s="54"/>
      <c r="K241" s="69"/>
      <c r="L241" s="53"/>
      <c r="M241" s="528" t="s">
        <v>22</v>
      </c>
      <c r="N241" s="528"/>
      <c r="O241" s="528"/>
      <c r="P241" s="54">
        <f>SUM(P242:P247)</f>
        <v>35600000</v>
      </c>
      <c r="Q241" s="38" t="s">
        <v>23</v>
      </c>
    </row>
    <row r="242" spans="1:17" ht="15.95" customHeight="1">
      <c r="A242" s="227"/>
      <c r="B242" s="360"/>
      <c r="C242" s="634"/>
      <c r="D242" s="631"/>
      <c r="E242" s="537"/>
      <c r="F242" s="636"/>
      <c r="G242" s="653"/>
      <c r="H242" s="662"/>
      <c r="I242" s="475" t="s">
        <v>418</v>
      </c>
      <c r="J242" s="72">
        <v>14500000</v>
      </c>
      <c r="K242" s="107" t="s">
        <v>23</v>
      </c>
      <c r="L242" s="74" t="s">
        <v>32</v>
      </c>
      <c r="M242" s="73">
        <v>1</v>
      </c>
      <c r="N242" s="73" t="s">
        <v>33</v>
      </c>
      <c r="O242" s="73" t="s">
        <v>34</v>
      </c>
      <c r="P242" s="72">
        <f t="shared" ref="P242:P247" si="15">+J242*M242</f>
        <v>14500000</v>
      </c>
      <c r="Q242" s="76" t="s">
        <v>23</v>
      </c>
    </row>
    <row r="243" spans="1:17" ht="15.95" customHeight="1">
      <c r="A243" s="227"/>
      <c r="B243" s="360"/>
      <c r="C243" s="634"/>
      <c r="D243" s="631"/>
      <c r="E243" s="537"/>
      <c r="F243" s="636"/>
      <c r="G243" s="653"/>
      <c r="H243" s="662"/>
      <c r="I243" s="475" t="s">
        <v>419</v>
      </c>
      <c r="J243" s="72">
        <v>3300000</v>
      </c>
      <c r="K243" s="107" t="s">
        <v>87</v>
      </c>
      <c r="L243" s="74" t="s">
        <v>32</v>
      </c>
      <c r="M243" s="73">
        <v>1</v>
      </c>
      <c r="N243" s="73" t="s">
        <v>33</v>
      </c>
      <c r="O243" s="73" t="s">
        <v>34</v>
      </c>
      <c r="P243" s="72">
        <f t="shared" si="15"/>
        <v>3300000</v>
      </c>
      <c r="Q243" s="76" t="s">
        <v>23</v>
      </c>
    </row>
    <row r="244" spans="1:17" ht="15.95" customHeight="1">
      <c r="A244" s="227"/>
      <c r="B244" s="360"/>
      <c r="C244" s="634"/>
      <c r="D244" s="631"/>
      <c r="E244" s="537"/>
      <c r="F244" s="636"/>
      <c r="G244" s="653"/>
      <c r="H244" s="662"/>
      <c r="I244" s="475" t="s">
        <v>420</v>
      </c>
      <c r="J244" s="72">
        <v>14500000</v>
      </c>
      <c r="K244" s="107" t="s">
        <v>74</v>
      </c>
      <c r="L244" s="74" t="s">
        <v>32</v>
      </c>
      <c r="M244" s="73">
        <v>1</v>
      </c>
      <c r="N244" s="73" t="s">
        <v>144</v>
      </c>
      <c r="O244" s="75" t="s">
        <v>73</v>
      </c>
      <c r="P244" s="72">
        <f t="shared" si="15"/>
        <v>14500000</v>
      </c>
      <c r="Q244" s="76" t="s">
        <v>74</v>
      </c>
    </row>
    <row r="245" spans="1:17" ht="15.95" customHeight="1">
      <c r="A245" s="227"/>
      <c r="B245" s="360"/>
      <c r="C245" s="634"/>
      <c r="D245" s="631"/>
      <c r="E245" s="537"/>
      <c r="F245" s="636"/>
      <c r="G245" s="653"/>
      <c r="H245" s="662"/>
      <c r="I245" s="475" t="s">
        <v>421</v>
      </c>
      <c r="J245" s="72">
        <v>3300000</v>
      </c>
      <c r="K245" s="107" t="s">
        <v>74</v>
      </c>
      <c r="L245" s="74" t="s">
        <v>32</v>
      </c>
      <c r="M245" s="73">
        <v>1</v>
      </c>
      <c r="N245" s="73" t="s">
        <v>144</v>
      </c>
      <c r="O245" s="75" t="s">
        <v>73</v>
      </c>
      <c r="P245" s="72">
        <f t="shared" si="15"/>
        <v>3300000</v>
      </c>
      <c r="Q245" s="76" t="s">
        <v>74</v>
      </c>
    </row>
    <row r="246" spans="1:17" ht="15.95" customHeight="1">
      <c r="A246" s="227"/>
      <c r="B246" s="360"/>
      <c r="C246" s="634"/>
      <c r="D246" s="631"/>
      <c r="E246" s="537"/>
      <c r="F246" s="490"/>
      <c r="G246" s="653"/>
      <c r="H246" s="662"/>
      <c r="I246" s="475" t="s">
        <v>422</v>
      </c>
      <c r="J246" s="72">
        <v>0</v>
      </c>
      <c r="K246" s="107" t="s">
        <v>423</v>
      </c>
      <c r="L246" s="74" t="s">
        <v>32</v>
      </c>
      <c r="M246" s="73"/>
      <c r="N246" s="73" t="s">
        <v>33</v>
      </c>
      <c r="O246" s="73" t="s">
        <v>34</v>
      </c>
      <c r="P246" s="72">
        <f t="shared" si="15"/>
        <v>0</v>
      </c>
      <c r="Q246" s="76" t="s">
        <v>23</v>
      </c>
    </row>
    <row r="247" spans="1:17" ht="15.95" customHeight="1">
      <c r="A247" s="227"/>
      <c r="B247" s="360"/>
      <c r="C247" s="668"/>
      <c r="D247" s="632"/>
      <c r="E247" s="565"/>
      <c r="F247" s="492"/>
      <c r="G247" s="659"/>
      <c r="H247" s="641"/>
      <c r="I247" s="363" t="s">
        <v>424</v>
      </c>
      <c r="J247" s="304">
        <v>0</v>
      </c>
      <c r="K247" s="305" t="s">
        <v>74</v>
      </c>
      <c r="L247" s="306" t="s">
        <v>32</v>
      </c>
      <c r="M247" s="307"/>
      <c r="N247" s="307" t="s">
        <v>33</v>
      </c>
      <c r="O247" s="308" t="s">
        <v>73</v>
      </c>
      <c r="P247" s="304">
        <f t="shared" si="15"/>
        <v>0</v>
      </c>
      <c r="Q247" s="309" t="s">
        <v>74</v>
      </c>
    </row>
    <row r="248" spans="1:17" ht="15.95" customHeight="1">
      <c r="A248" s="282" t="s">
        <v>316</v>
      </c>
      <c r="B248" s="361" t="s">
        <v>425</v>
      </c>
      <c r="C248" s="633" t="s">
        <v>426</v>
      </c>
      <c r="D248" s="616">
        <v>18570</v>
      </c>
      <c r="E248" s="552">
        <f>+P248/1000</f>
        <v>18570</v>
      </c>
      <c r="F248" s="635">
        <v>661</v>
      </c>
      <c r="G248" s="669">
        <f>+E248-D248</f>
        <v>0</v>
      </c>
      <c r="H248" s="640">
        <f>G248/D248*100</f>
        <v>0</v>
      </c>
      <c r="I248" s="110"/>
      <c r="J248" s="121"/>
      <c r="K248" s="354"/>
      <c r="L248" s="137"/>
      <c r="M248" s="558" t="s">
        <v>22</v>
      </c>
      <c r="N248" s="558"/>
      <c r="O248" s="558"/>
      <c r="P248" s="121">
        <f>SUM(P249:P251)</f>
        <v>18570000</v>
      </c>
      <c r="Q248" s="113" t="s">
        <v>23</v>
      </c>
    </row>
    <row r="249" spans="1:17" ht="15.95" customHeight="1">
      <c r="A249" s="227"/>
      <c r="B249" s="360"/>
      <c r="C249" s="634"/>
      <c r="D249" s="631"/>
      <c r="E249" s="537"/>
      <c r="F249" s="636"/>
      <c r="G249" s="669"/>
      <c r="H249" s="662"/>
      <c r="I249" s="362" t="s">
        <v>427</v>
      </c>
      <c r="J249" s="72">
        <v>1400000</v>
      </c>
      <c r="K249" s="107" t="s">
        <v>74</v>
      </c>
      <c r="L249" s="74" t="s">
        <v>32</v>
      </c>
      <c r="M249" s="73">
        <v>12</v>
      </c>
      <c r="N249" s="73" t="s">
        <v>33</v>
      </c>
      <c r="O249" s="75" t="s">
        <v>73</v>
      </c>
      <c r="P249" s="72">
        <f>+J249*M249</f>
        <v>16800000</v>
      </c>
      <c r="Q249" s="76" t="s">
        <v>74</v>
      </c>
    </row>
    <row r="250" spans="1:17" ht="15.95" customHeight="1">
      <c r="A250" s="227"/>
      <c r="B250" s="360"/>
      <c r="C250" s="634"/>
      <c r="D250" s="631"/>
      <c r="E250" s="537"/>
      <c r="F250" s="636"/>
      <c r="G250" s="669"/>
      <c r="H250" s="662"/>
      <c r="I250" s="362" t="s">
        <v>428</v>
      </c>
      <c r="J250" s="72">
        <v>1650000</v>
      </c>
      <c r="K250" s="107" t="s">
        <v>74</v>
      </c>
      <c r="L250" s="74" t="s">
        <v>32</v>
      </c>
      <c r="M250" s="73">
        <v>1</v>
      </c>
      <c r="N250" s="73" t="s">
        <v>82</v>
      </c>
      <c r="O250" s="75" t="s">
        <v>73</v>
      </c>
      <c r="P250" s="72">
        <f>+J250*M250</f>
        <v>1650000</v>
      </c>
      <c r="Q250" s="76" t="s">
        <v>74</v>
      </c>
    </row>
    <row r="251" spans="1:17" ht="15.95" customHeight="1">
      <c r="A251" s="227"/>
      <c r="B251" s="360"/>
      <c r="C251" s="634"/>
      <c r="D251" s="631"/>
      <c r="E251" s="537"/>
      <c r="F251" s="636"/>
      <c r="G251" s="669"/>
      <c r="H251" s="662" t="e">
        <f>+E251/D251*100</f>
        <v>#DIV/0!</v>
      </c>
      <c r="I251" s="122" t="s">
        <v>429</v>
      </c>
      <c r="J251" s="72">
        <v>10000</v>
      </c>
      <c r="K251" s="107" t="s">
        <v>23</v>
      </c>
      <c r="L251" s="74"/>
      <c r="M251" s="73">
        <v>12</v>
      </c>
      <c r="N251" s="73" t="s">
        <v>87</v>
      </c>
      <c r="O251" s="73" t="s">
        <v>34</v>
      </c>
      <c r="P251" s="72">
        <f>+J251*M251</f>
        <v>120000</v>
      </c>
      <c r="Q251" s="76" t="s">
        <v>23</v>
      </c>
    </row>
    <row r="252" spans="1:17" ht="15.95" customHeight="1">
      <c r="A252" s="227"/>
      <c r="B252" s="360"/>
      <c r="C252" s="633" t="s">
        <v>430</v>
      </c>
      <c r="D252" s="616">
        <v>19500</v>
      </c>
      <c r="E252" s="552">
        <f>+P252/1000</f>
        <v>21900</v>
      </c>
      <c r="F252" s="635">
        <v>661</v>
      </c>
      <c r="G252" s="652">
        <f>+E252-D252</f>
        <v>2400</v>
      </c>
      <c r="H252" s="640">
        <f>+G252/D252*100</f>
        <v>12.307692307692308</v>
      </c>
      <c r="I252" s="353"/>
      <c r="J252" s="121"/>
      <c r="K252" s="354"/>
      <c r="L252" s="137"/>
      <c r="M252" s="558" t="s">
        <v>22</v>
      </c>
      <c r="N252" s="558"/>
      <c r="O252" s="558"/>
      <c r="P252" s="121">
        <f>P253+P254+P255</f>
        <v>21900000</v>
      </c>
      <c r="Q252" s="113" t="s">
        <v>23</v>
      </c>
    </row>
    <row r="253" spans="1:17" ht="15.95" customHeight="1">
      <c r="A253" s="227"/>
      <c r="B253" s="360"/>
      <c r="C253" s="634"/>
      <c r="D253" s="631"/>
      <c r="E253" s="537"/>
      <c r="F253" s="636"/>
      <c r="G253" s="653"/>
      <c r="H253" s="662"/>
      <c r="I253" s="475" t="s">
        <v>431</v>
      </c>
      <c r="J253" s="72">
        <v>58000</v>
      </c>
      <c r="K253" s="107" t="s">
        <v>23</v>
      </c>
      <c r="L253" s="74" t="s">
        <v>32</v>
      </c>
      <c r="M253" s="73">
        <v>350</v>
      </c>
      <c r="N253" s="73" t="s">
        <v>144</v>
      </c>
      <c r="O253" s="75" t="s">
        <v>73</v>
      </c>
      <c r="P253" s="72">
        <f>+J253*M253</f>
        <v>20300000</v>
      </c>
      <c r="Q253" s="76" t="s">
        <v>74</v>
      </c>
    </row>
    <row r="254" spans="1:17" ht="15.95" customHeight="1">
      <c r="A254" s="227"/>
      <c r="B254" s="360"/>
      <c r="C254" s="634"/>
      <c r="D254" s="631"/>
      <c r="E254" s="537"/>
      <c r="F254" s="636"/>
      <c r="G254" s="653"/>
      <c r="H254" s="662"/>
      <c r="I254" s="475" t="s">
        <v>432</v>
      </c>
      <c r="J254" s="72">
        <v>1500000</v>
      </c>
      <c r="K254" s="107" t="s">
        <v>14</v>
      </c>
      <c r="L254" s="74" t="s">
        <v>32</v>
      </c>
      <c r="M254" s="73">
        <v>1</v>
      </c>
      <c r="N254" s="73" t="s">
        <v>433</v>
      </c>
      <c r="O254" s="75" t="s">
        <v>73</v>
      </c>
      <c r="P254" s="72">
        <f>J254*M254</f>
        <v>1500000</v>
      </c>
      <c r="Q254" s="76" t="s">
        <v>14</v>
      </c>
    </row>
    <row r="255" spans="1:17" ht="15.95" customHeight="1">
      <c r="A255" s="227"/>
      <c r="B255" s="360"/>
      <c r="C255" s="668"/>
      <c r="D255" s="632"/>
      <c r="E255" s="537"/>
      <c r="F255" s="636"/>
      <c r="G255" s="653"/>
      <c r="H255" s="662" t="e">
        <f>+E255/D255*100</f>
        <v>#DIV/0!</v>
      </c>
      <c r="I255" s="475" t="s">
        <v>272</v>
      </c>
      <c r="J255" s="72">
        <v>100000</v>
      </c>
      <c r="K255" s="107" t="s">
        <v>14</v>
      </c>
      <c r="L255" s="74" t="s">
        <v>32</v>
      </c>
      <c r="M255" s="73">
        <v>1</v>
      </c>
      <c r="N255" s="73" t="s">
        <v>433</v>
      </c>
      <c r="O255" s="75" t="s">
        <v>73</v>
      </c>
      <c r="P255" s="72">
        <f>J255*M255</f>
        <v>100000</v>
      </c>
      <c r="Q255" s="76" t="s">
        <v>14</v>
      </c>
    </row>
    <row r="256" spans="1:17" ht="16.5" customHeight="1">
      <c r="A256" s="227"/>
      <c r="B256" s="360"/>
      <c r="C256" s="633" t="s">
        <v>434</v>
      </c>
      <c r="D256" s="616">
        <v>500</v>
      </c>
      <c r="E256" s="552">
        <f>+P256/1000</f>
        <v>500</v>
      </c>
      <c r="F256" s="635">
        <v>661</v>
      </c>
      <c r="G256" s="652">
        <f>+E256-D256</f>
        <v>0</v>
      </c>
      <c r="H256" s="640">
        <f>G256/D256*100</f>
        <v>0</v>
      </c>
      <c r="I256" s="353"/>
      <c r="J256" s="121"/>
      <c r="K256" s="354"/>
      <c r="L256" s="137"/>
      <c r="M256" s="558" t="s">
        <v>22</v>
      </c>
      <c r="N256" s="558"/>
      <c r="O256" s="558"/>
      <c r="P256" s="121">
        <f>SUM(P257)</f>
        <v>500000</v>
      </c>
      <c r="Q256" s="113" t="s">
        <v>23</v>
      </c>
    </row>
    <row r="257" spans="1:17" ht="16.5" customHeight="1">
      <c r="A257" s="227"/>
      <c r="B257" s="360"/>
      <c r="C257" s="668"/>
      <c r="D257" s="632"/>
      <c r="E257" s="565"/>
      <c r="F257" s="647"/>
      <c r="G257" s="659"/>
      <c r="H257" s="641"/>
      <c r="I257" s="363" t="s">
        <v>435</v>
      </c>
      <c r="J257" s="304">
        <v>250000</v>
      </c>
      <c r="K257" s="305" t="s">
        <v>74</v>
      </c>
      <c r="L257" s="306" t="s">
        <v>32</v>
      </c>
      <c r="M257" s="307">
        <v>2</v>
      </c>
      <c r="N257" s="307" t="s">
        <v>144</v>
      </c>
      <c r="O257" s="308" t="s">
        <v>73</v>
      </c>
      <c r="P257" s="304">
        <f>+J257*M257</f>
        <v>500000</v>
      </c>
      <c r="Q257" s="309" t="s">
        <v>74</v>
      </c>
    </row>
    <row r="258" spans="1:17" ht="20.100000000000001" customHeight="1">
      <c r="A258" s="227"/>
      <c r="B258" s="30" t="s">
        <v>436</v>
      </c>
      <c r="C258" s="364" t="s">
        <v>152</v>
      </c>
      <c r="D258" s="488">
        <f>SUM(D259:D268)</f>
        <v>28500</v>
      </c>
      <c r="E258" s="461">
        <f>SUM(E259:E268)</f>
        <v>28440</v>
      </c>
      <c r="F258" s="490">
        <f>SUM(F259:F268)</f>
        <v>16571</v>
      </c>
      <c r="G258" s="482">
        <f>+E258-D258</f>
        <v>-60</v>
      </c>
      <c r="H258" s="485">
        <f>+G258/D258*100</f>
        <v>-0.21052631578947367</v>
      </c>
      <c r="I258" s="475"/>
      <c r="J258" s="72"/>
      <c r="K258" s="107"/>
      <c r="L258" s="74"/>
      <c r="M258" s="103"/>
      <c r="N258" s="103"/>
      <c r="O258" s="365"/>
      <c r="P258" s="366">
        <f>SUM(P259,P264)</f>
        <v>28440000</v>
      </c>
      <c r="Q258" s="367" t="s">
        <v>14</v>
      </c>
    </row>
    <row r="259" spans="1:17" ht="15.95" customHeight="1">
      <c r="A259" s="227"/>
      <c r="B259" s="368"/>
      <c r="C259" s="642" t="s">
        <v>437</v>
      </c>
      <c r="D259" s="616">
        <v>14700</v>
      </c>
      <c r="E259" s="552">
        <f>+P259/1000</f>
        <v>14640</v>
      </c>
      <c r="F259" s="635">
        <v>9358</v>
      </c>
      <c r="G259" s="607">
        <f>+E259-D259</f>
        <v>-60</v>
      </c>
      <c r="H259" s="610">
        <f>+G259/D259*100</f>
        <v>-0.40816326530612246</v>
      </c>
      <c r="I259" s="353"/>
      <c r="J259" s="121"/>
      <c r="K259" s="354"/>
      <c r="L259" s="354"/>
      <c r="M259" s="558" t="s">
        <v>438</v>
      </c>
      <c r="N259" s="558"/>
      <c r="O259" s="558"/>
      <c r="P259" s="369">
        <f>SUM(P260:P263)</f>
        <v>14640000</v>
      </c>
      <c r="Q259" s="113" t="s">
        <v>132</v>
      </c>
    </row>
    <row r="260" spans="1:17" ht="15.95" customHeight="1">
      <c r="A260" s="227"/>
      <c r="B260" s="43"/>
      <c r="C260" s="643"/>
      <c r="D260" s="631"/>
      <c r="E260" s="537"/>
      <c r="F260" s="636"/>
      <c r="G260" s="608">
        <f>+D260-E260</f>
        <v>0</v>
      </c>
      <c r="H260" s="611" t="e">
        <f>+E260/D260*100</f>
        <v>#DIV/0!</v>
      </c>
      <c r="I260" s="475" t="s">
        <v>439</v>
      </c>
      <c r="J260" s="72">
        <v>20000</v>
      </c>
      <c r="K260" s="107" t="s">
        <v>132</v>
      </c>
      <c r="L260" s="74" t="s">
        <v>32</v>
      </c>
      <c r="M260" s="73">
        <v>12</v>
      </c>
      <c r="N260" s="73" t="s">
        <v>440</v>
      </c>
      <c r="O260" s="75" t="s">
        <v>134</v>
      </c>
      <c r="P260" s="72">
        <f>SUM(J260*M260)</f>
        <v>240000</v>
      </c>
      <c r="Q260" s="76" t="s">
        <v>132</v>
      </c>
    </row>
    <row r="261" spans="1:17" ht="15.95" customHeight="1">
      <c r="A261" s="227"/>
      <c r="B261" s="43"/>
      <c r="C261" s="643"/>
      <c r="D261" s="631"/>
      <c r="E261" s="537"/>
      <c r="F261" s="636"/>
      <c r="G261" s="608">
        <f>+D261-E261</f>
        <v>0</v>
      </c>
      <c r="H261" s="611" t="e">
        <f>+E261/D261*100</f>
        <v>#DIV/0!</v>
      </c>
      <c r="I261" s="475" t="s">
        <v>441</v>
      </c>
      <c r="J261" s="72">
        <v>500000</v>
      </c>
      <c r="K261" s="107" t="s">
        <v>132</v>
      </c>
      <c r="L261" s="74" t="s">
        <v>32</v>
      </c>
      <c r="M261" s="73">
        <v>12</v>
      </c>
      <c r="N261" s="73" t="s">
        <v>440</v>
      </c>
      <c r="O261" s="75" t="s">
        <v>134</v>
      </c>
      <c r="P261" s="72">
        <f>SUM(J261*M261)</f>
        <v>6000000</v>
      </c>
      <c r="Q261" s="76" t="s">
        <v>132</v>
      </c>
    </row>
    <row r="262" spans="1:17" ht="15.95" customHeight="1">
      <c r="A262" s="227"/>
      <c r="B262" s="43"/>
      <c r="C262" s="643"/>
      <c r="D262" s="631"/>
      <c r="E262" s="537"/>
      <c r="F262" s="636"/>
      <c r="G262" s="608"/>
      <c r="H262" s="611"/>
      <c r="I262" s="475" t="s">
        <v>442</v>
      </c>
      <c r="J262" s="72">
        <v>550000</v>
      </c>
      <c r="K262" s="107" t="s">
        <v>136</v>
      </c>
      <c r="L262" s="74" t="s">
        <v>32</v>
      </c>
      <c r="M262" s="73">
        <v>12</v>
      </c>
      <c r="N262" s="73" t="s">
        <v>440</v>
      </c>
      <c r="O262" s="75" t="s">
        <v>134</v>
      </c>
      <c r="P262" s="72">
        <f>SUM(J262*M262)</f>
        <v>6600000</v>
      </c>
      <c r="Q262" s="76" t="s">
        <v>132</v>
      </c>
    </row>
    <row r="263" spans="1:17" ht="15.95" customHeight="1">
      <c r="A263" s="227"/>
      <c r="B263" s="43"/>
      <c r="C263" s="643"/>
      <c r="D263" s="631"/>
      <c r="E263" s="537"/>
      <c r="F263" s="636"/>
      <c r="G263" s="608">
        <f>+D263-E263</f>
        <v>0</v>
      </c>
      <c r="H263" s="611" t="e">
        <f>+E263/D263*100</f>
        <v>#DIV/0!</v>
      </c>
      <c r="I263" s="475" t="s">
        <v>443</v>
      </c>
      <c r="J263" s="72">
        <v>1800000</v>
      </c>
      <c r="K263" s="107" t="s">
        <v>132</v>
      </c>
      <c r="L263" s="74" t="s">
        <v>32</v>
      </c>
      <c r="M263" s="73">
        <v>1</v>
      </c>
      <c r="N263" s="73" t="s">
        <v>444</v>
      </c>
      <c r="O263" s="75" t="s">
        <v>134</v>
      </c>
      <c r="P263" s="72">
        <f>SUM(J263*M263)</f>
        <v>1800000</v>
      </c>
      <c r="Q263" s="76" t="s">
        <v>132</v>
      </c>
    </row>
    <row r="264" spans="1:17" ht="15.95" customHeight="1">
      <c r="A264" s="227"/>
      <c r="B264" s="43"/>
      <c r="C264" s="642" t="s">
        <v>445</v>
      </c>
      <c r="D264" s="616">
        <v>13800</v>
      </c>
      <c r="E264" s="552">
        <f>+P264/1000</f>
        <v>13800</v>
      </c>
      <c r="F264" s="635">
        <v>7213</v>
      </c>
      <c r="G264" s="552">
        <f>+E264-D264</f>
        <v>0</v>
      </c>
      <c r="H264" s="666">
        <f>+G264/D264*100</f>
        <v>0</v>
      </c>
      <c r="I264" s="353"/>
      <c r="J264" s="121"/>
      <c r="K264" s="354"/>
      <c r="L264" s="137"/>
      <c r="M264" s="558" t="s">
        <v>446</v>
      </c>
      <c r="N264" s="558"/>
      <c r="O264" s="558"/>
      <c r="P264" s="369">
        <f>SUM(P265:P268)</f>
        <v>13800000</v>
      </c>
      <c r="Q264" s="113" t="s">
        <v>447</v>
      </c>
    </row>
    <row r="265" spans="1:17" ht="15.95" customHeight="1">
      <c r="A265" s="227"/>
      <c r="B265" s="43"/>
      <c r="C265" s="663"/>
      <c r="D265" s="664"/>
      <c r="E265" s="665"/>
      <c r="F265" s="636"/>
      <c r="G265" s="665"/>
      <c r="H265" s="667"/>
      <c r="I265" s="370" t="s">
        <v>448</v>
      </c>
      <c r="J265" s="72">
        <v>2700000</v>
      </c>
      <c r="K265" s="107" t="s">
        <v>74</v>
      </c>
      <c r="L265" s="74" t="s">
        <v>32</v>
      </c>
      <c r="M265" s="73">
        <v>2</v>
      </c>
      <c r="N265" s="73" t="s">
        <v>144</v>
      </c>
      <c r="O265" s="75"/>
      <c r="P265" s="72">
        <f>SUM(J265*M265)</f>
        <v>5400000</v>
      </c>
      <c r="Q265" s="76" t="s">
        <v>74</v>
      </c>
    </row>
    <row r="266" spans="1:17" ht="15.95" customHeight="1">
      <c r="A266" s="227"/>
      <c r="B266" s="43"/>
      <c r="C266" s="663"/>
      <c r="D266" s="664"/>
      <c r="E266" s="665"/>
      <c r="F266" s="636"/>
      <c r="G266" s="665"/>
      <c r="H266" s="667"/>
      <c r="I266" s="475" t="s">
        <v>449</v>
      </c>
      <c r="J266" s="72">
        <v>1500000</v>
      </c>
      <c r="K266" s="107" t="s">
        <v>74</v>
      </c>
      <c r="L266" s="74" t="s">
        <v>32</v>
      </c>
      <c r="M266" s="73">
        <v>2</v>
      </c>
      <c r="N266" s="73" t="s">
        <v>450</v>
      </c>
      <c r="O266" s="75" t="s">
        <v>73</v>
      </c>
      <c r="P266" s="72">
        <f>SUM(J266*M266)</f>
        <v>3000000</v>
      </c>
      <c r="Q266" s="76" t="s">
        <v>74</v>
      </c>
    </row>
    <row r="267" spans="1:17" ht="15.95" customHeight="1">
      <c r="A267" s="227"/>
      <c r="B267" s="43"/>
      <c r="C267" s="663"/>
      <c r="D267" s="664"/>
      <c r="E267" s="665"/>
      <c r="F267" s="636"/>
      <c r="G267" s="665"/>
      <c r="H267" s="667"/>
      <c r="I267" s="475" t="s">
        <v>451</v>
      </c>
      <c r="J267" s="72">
        <v>3000000</v>
      </c>
      <c r="K267" s="107" t="s">
        <v>74</v>
      </c>
      <c r="L267" s="74" t="s">
        <v>32</v>
      </c>
      <c r="M267" s="73">
        <v>1</v>
      </c>
      <c r="N267" s="73" t="s">
        <v>450</v>
      </c>
      <c r="O267" s="75" t="s">
        <v>73</v>
      </c>
      <c r="P267" s="72">
        <f>SUM(J267*M267)</f>
        <v>3000000</v>
      </c>
      <c r="Q267" s="76" t="s">
        <v>74</v>
      </c>
    </row>
    <row r="268" spans="1:17" ht="15.95" customHeight="1">
      <c r="A268" s="227"/>
      <c r="B268" s="43"/>
      <c r="C268" s="663"/>
      <c r="D268" s="664"/>
      <c r="E268" s="665"/>
      <c r="F268" s="636"/>
      <c r="G268" s="665"/>
      <c r="H268" s="667"/>
      <c r="I268" s="475" t="s">
        <v>452</v>
      </c>
      <c r="J268" s="72">
        <v>200000</v>
      </c>
      <c r="K268" s="107" t="s">
        <v>74</v>
      </c>
      <c r="L268" s="74" t="s">
        <v>32</v>
      </c>
      <c r="M268" s="371">
        <v>12</v>
      </c>
      <c r="N268" s="73" t="s">
        <v>453</v>
      </c>
      <c r="O268" s="75" t="s">
        <v>73</v>
      </c>
      <c r="P268" s="72">
        <f>SUM(J268*M268)</f>
        <v>2400000</v>
      </c>
      <c r="Q268" s="76" t="s">
        <v>74</v>
      </c>
    </row>
    <row r="269" spans="1:17" ht="20.100000000000001" customHeight="1">
      <c r="A269" s="227"/>
      <c r="B269" s="30" t="s">
        <v>454</v>
      </c>
      <c r="C269" s="372" t="s">
        <v>455</v>
      </c>
      <c r="D269" s="500">
        <f>SUM(D270:D293)</f>
        <v>49600</v>
      </c>
      <c r="E269" s="502">
        <f>P269/1000</f>
        <v>42280.775999999998</v>
      </c>
      <c r="F269" s="498">
        <f>SUM(F270:F293)</f>
        <v>47877</v>
      </c>
      <c r="G269" s="502">
        <f>+E269-D269</f>
        <v>-7319.224000000002</v>
      </c>
      <c r="H269" s="503">
        <f>+G269/D269*100</f>
        <v>-14.756500000000003</v>
      </c>
      <c r="I269" s="373"/>
      <c r="J269" s="111"/>
      <c r="K269" s="354"/>
      <c r="L269" s="137"/>
      <c r="M269" s="468"/>
      <c r="N269" s="468"/>
      <c r="O269" s="374"/>
      <c r="P269" s="111">
        <f>SUM(P270,P277,P281,P290)</f>
        <v>42280776</v>
      </c>
      <c r="Q269" s="113" t="s">
        <v>456</v>
      </c>
    </row>
    <row r="270" spans="1:17" ht="15.95" customHeight="1">
      <c r="A270" s="227"/>
      <c r="B270" s="487" t="s">
        <v>457</v>
      </c>
      <c r="C270" s="576" t="s">
        <v>458</v>
      </c>
      <c r="D270" s="616">
        <v>15100</v>
      </c>
      <c r="E270" s="552">
        <f>+P270/1000</f>
        <v>14240</v>
      </c>
      <c r="F270" s="635">
        <v>7109</v>
      </c>
      <c r="G270" s="607">
        <f>+E270-D270</f>
        <v>-860</v>
      </c>
      <c r="H270" s="640">
        <f>+G270/D270*100</f>
        <v>-5.6953642384105958</v>
      </c>
      <c r="I270" s="255"/>
      <c r="J270" s="42"/>
      <c r="K270" s="69"/>
      <c r="L270" s="53"/>
      <c r="M270" s="528" t="s">
        <v>459</v>
      </c>
      <c r="N270" s="528"/>
      <c r="O270" s="528"/>
      <c r="P270" s="42">
        <f>SUM(P271:P276)</f>
        <v>14240000</v>
      </c>
      <c r="Q270" s="38" t="s">
        <v>456</v>
      </c>
    </row>
    <row r="271" spans="1:17" ht="15.95" customHeight="1">
      <c r="A271" s="227"/>
      <c r="B271" s="43"/>
      <c r="C271" s="550"/>
      <c r="D271" s="631"/>
      <c r="E271" s="537"/>
      <c r="F271" s="636"/>
      <c r="G271" s="608"/>
      <c r="H271" s="662"/>
      <c r="I271" s="320" t="s">
        <v>460</v>
      </c>
      <c r="J271" s="48">
        <v>2000000</v>
      </c>
      <c r="K271" s="67" t="s">
        <v>456</v>
      </c>
      <c r="L271" s="47" t="s">
        <v>32</v>
      </c>
      <c r="M271" s="478">
        <v>1</v>
      </c>
      <c r="N271" s="478" t="s">
        <v>461</v>
      </c>
      <c r="O271" s="52" t="s">
        <v>462</v>
      </c>
      <c r="P271" s="72">
        <f>SUM(J271*M271)</f>
        <v>2000000</v>
      </c>
      <c r="Q271" s="49" t="s">
        <v>463</v>
      </c>
    </row>
    <row r="272" spans="1:17" ht="15.95" customHeight="1">
      <c r="A272" s="227"/>
      <c r="B272" s="43"/>
      <c r="C272" s="550"/>
      <c r="D272" s="631"/>
      <c r="E272" s="537"/>
      <c r="F272" s="636"/>
      <c r="G272" s="608"/>
      <c r="H272" s="662"/>
      <c r="I272" s="320" t="s">
        <v>464</v>
      </c>
      <c r="J272" s="48">
        <v>170000</v>
      </c>
      <c r="K272" s="67" t="s">
        <v>463</v>
      </c>
      <c r="L272" s="47" t="s">
        <v>32</v>
      </c>
      <c r="M272" s="478">
        <v>2</v>
      </c>
      <c r="N272" s="478" t="s">
        <v>465</v>
      </c>
      <c r="O272" s="52"/>
      <c r="P272" s="72">
        <f>SUM(J272*M272)</f>
        <v>340000</v>
      </c>
      <c r="Q272" s="49" t="s">
        <v>463</v>
      </c>
    </row>
    <row r="273" spans="1:17" ht="15.95" customHeight="1">
      <c r="A273" s="227"/>
      <c r="B273" s="43"/>
      <c r="C273" s="550"/>
      <c r="D273" s="631"/>
      <c r="E273" s="537"/>
      <c r="F273" s="636"/>
      <c r="G273" s="608"/>
      <c r="H273" s="662"/>
      <c r="I273" s="375" t="s">
        <v>466</v>
      </c>
      <c r="J273" s="72">
        <v>1000</v>
      </c>
      <c r="K273" s="107" t="s">
        <v>463</v>
      </c>
      <c r="L273" s="74" t="s">
        <v>32</v>
      </c>
      <c r="M273" s="371">
        <v>2000</v>
      </c>
      <c r="N273" s="73" t="s">
        <v>467</v>
      </c>
      <c r="O273" s="75"/>
      <c r="P273" s="72">
        <f>SUM(J273*M273)</f>
        <v>2000000</v>
      </c>
      <c r="Q273" s="49" t="s">
        <v>463</v>
      </c>
    </row>
    <row r="274" spans="1:17" ht="15.95" customHeight="1">
      <c r="A274" s="227"/>
      <c r="B274" s="43"/>
      <c r="C274" s="550"/>
      <c r="D274" s="631"/>
      <c r="E274" s="537"/>
      <c r="F274" s="636"/>
      <c r="G274" s="608"/>
      <c r="H274" s="662"/>
      <c r="I274" s="375" t="s">
        <v>468</v>
      </c>
      <c r="J274" s="72">
        <v>3800000</v>
      </c>
      <c r="K274" s="107" t="s">
        <v>463</v>
      </c>
      <c r="L274" s="74" t="s">
        <v>32</v>
      </c>
      <c r="M274" s="73">
        <v>2</v>
      </c>
      <c r="N274" s="73" t="s">
        <v>465</v>
      </c>
      <c r="O274" s="75"/>
      <c r="P274" s="72">
        <f>SUM(J274*M274)</f>
        <v>7600000</v>
      </c>
      <c r="Q274" s="49" t="s">
        <v>463</v>
      </c>
    </row>
    <row r="275" spans="1:17" ht="15.95" customHeight="1">
      <c r="A275" s="227"/>
      <c r="B275" s="43"/>
      <c r="C275" s="550"/>
      <c r="D275" s="631"/>
      <c r="E275" s="537"/>
      <c r="F275" s="636"/>
      <c r="G275" s="608"/>
      <c r="H275" s="662"/>
      <c r="I275" s="375" t="s">
        <v>469</v>
      </c>
      <c r="J275" s="72">
        <v>30000</v>
      </c>
      <c r="K275" s="107" t="s">
        <v>463</v>
      </c>
      <c r="L275" s="74" t="s">
        <v>32</v>
      </c>
      <c r="M275" s="73">
        <v>10</v>
      </c>
      <c r="N275" s="73" t="s">
        <v>465</v>
      </c>
      <c r="O275" s="73" t="s">
        <v>470</v>
      </c>
      <c r="P275" s="72">
        <v>300000</v>
      </c>
      <c r="Q275" s="49" t="s">
        <v>463</v>
      </c>
    </row>
    <row r="276" spans="1:17" ht="15.95" customHeight="1">
      <c r="A276" s="227"/>
      <c r="B276" s="43"/>
      <c r="C276" s="550"/>
      <c r="D276" s="631"/>
      <c r="E276" s="537"/>
      <c r="F276" s="636"/>
      <c r="G276" s="608"/>
      <c r="H276" s="662"/>
      <c r="I276" s="375" t="s">
        <v>471</v>
      </c>
      <c r="J276" s="72">
        <v>2000000</v>
      </c>
      <c r="K276" s="107" t="s">
        <v>463</v>
      </c>
      <c r="L276" s="74" t="s">
        <v>32</v>
      </c>
      <c r="M276" s="371">
        <v>1</v>
      </c>
      <c r="N276" s="73" t="s">
        <v>472</v>
      </c>
      <c r="O276" s="75"/>
      <c r="P276" s="72">
        <f>SUM(J276*M276)</f>
        <v>2000000</v>
      </c>
      <c r="Q276" s="49" t="s">
        <v>463</v>
      </c>
    </row>
    <row r="277" spans="1:17" ht="15.95" customHeight="1">
      <c r="A277" s="227"/>
      <c r="B277" s="43"/>
      <c r="C277" s="560" t="s">
        <v>473</v>
      </c>
      <c r="D277" s="648">
        <v>10000</v>
      </c>
      <c r="E277" s="650">
        <f>+P277/1000</f>
        <v>10000</v>
      </c>
      <c r="F277" s="635">
        <v>18037</v>
      </c>
      <c r="G277" s="652">
        <f>+E277-D277</f>
        <v>0</v>
      </c>
      <c r="H277" s="654">
        <v>0</v>
      </c>
      <c r="I277" s="376"/>
      <c r="J277" s="121"/>
      <c r="K277" s="354"/>
      <c r="L277" s="354"/>
      <c r="M277" s="558" t="s">
        <v>474</v>
      </c>
      <c r="N277" s="558"/>
      <c r="O277" s="558"/>
      <c r="P277" s="369">
        <f>SUM(P278:P280)</f>
        <v>10000000</v>
      </c>
      <c r="Q277" s="38" t="s">
        <v>463</v>
      </c>
    </row>
    <row r="278" spans="1:17" ht="15.95" customHeight="1">
      <c r="A278" s="227"/>
      <c r="B278" s="43"/>
      <c r="C278" s="561"/>
      <c r="D278" s="649"/>
      <c r="E278" s="651"/>
      <c r="F278" s="636"/>
      <c r="G278" s="653"/>
      <c r="H278" s="655"/>
      <c r="I278" s="122" t="s">
        <v>475</v>
      </c>
      <c r="J278" s="72">
        <v>500000</v>
      </c>
      <c r="K278" s="107" t="s">
        <v>74</v>
      </c>
      <c r="L278" s="74" t="s">
        <v>32</v>
      </c>
      <c r="M278" s="73">
        <v>4</v>
      </c>
      <c r="N278" s="73" t="s">
        <v>476</v>
      </c>
      <c r="O278" s="75" t="s">
        <v>73</v>
      </c>
      <c r="P278" s="109">
        <f>+J278*M278</f>
        <v>2000000</v>
      </c>
      <c r="Q278" s="49" t="s">
        <v>74</v>
      </c>
    </row>
    <row r="279" spans="1:17" ht="15.95" customHeight="1">
      <c r="A279" s="227"/>
      <c r="B279" s="43"/>
      <c r="C279" s="535"/>
      <c r="D279" s="649"/>
      <c r="E279" s="651"/>
      <c r="F279" s="636"/>
      <c r="G279" s="653">
        <f>+E279-D279</f>
        <v>0</v>
      </c>
      <c r="H279" s="655" t="e">
        <f>+G279/D279*100</f>
        <v>#DIV/0!</v>
      </c>
      <c r="I279" s="122" t="s">
        <v>477</v>
      </c>
      <c r="J279" s="72">
        <v>5500000</v>
      </c>
      <c r="K279" s="107" t="s">
        <v>74</v>
      </c>
      <c r="L279" s="74" t="s">
        <v>32</v>
      </c>
      <c r="M279" s="73">
        <v>1</v>
      </c>
      <c r="N279" s="73" t="s">
        <v>461</v>
      </c>
      <c r="O279" s="75" t="s">
        <v>73</v>
      </c>
      <c r="P279" s="109">
        <f>+J279*M279</f>
        <v>5500000</v>
      </c>
      <c r="Q279" s="49" t="s">
        <v>74</v>
      </c>
    </row>
    <row r="280" spans="1:17" ht="15.95" customHeight="1">
      <c r="A280" s="227"/>
      <c r="B280" s="43"/>
      <c r="C280" s="661"/>
      <c r="D280" s="657"/>
      <c r="E280" s="658"/>
      <c r="F280" s="647"/>
      <c r="G280" s="659">
        <f>+E280-D280</f>
        <v>0</v>
      </c>
      <c r="H280" s="660" t="e">
        <f>+G280/D280*100</f>
        <v>#DIV/0!</v>
      </c>
      <c r="I280" s="363" t="s">
        <v>478</v>
      </c>
      <c r="J280" s="377">
        <v>2500000</v>
      </c>
      <c r="K280" s="378" t="s">
        <v>74</v>
      </c>
      <c r="L280" s="306" t="s">
        <v>32</v>
      </c>
      <c r="M280" s="307">
        <v>1</v>
      </c>
      <c r="N280" s="307" t="s">
        <v>461</v>
      </c>
      <c r="O280" s="308" t="s">
        <v>73</v>
      </c>
      <c r="P280" s="379">
        <f>+J280*M280</f>
        <v>2500000</v>
      </c>
      <c r="Q280" s="380" t="s">
        <v>74</v>
      </c>
    </row>
    <row r="281" spans="1:17" ht="15.95" customHeight="1">
      <c r="A281" s="282" t="s">
        <v>479</v>
      </c>
      <c r="B281" s="30" t="s">
        <v>480</v>
      </c>
      <c r="C281" s="576" t="s">
        <v>481</v>
      </c>
      <c r="D281" s="648">
        <v>8300</v>
      </c>
      <c r="E281" s="650">
        <f>+P281/1000</f>
        <v>5340.78</v>
      </c>
      <c r="F281" s="635">
        <v>4694</v>
      </c>
      <c r="G281" s="652">
        <f>+E281-D281</f>
        <v>-2959.2200000000003</v>
      </c>
      <c r="H281" s="654">
        <f t="shared" ref="H281:H288" si="16">+G281/D281*100</f>
        <v>-35.653253012048197</v>
      </c>
      <c r="I281" s="376"/>
      <c r="J281" s="121"/>
      <c r="K281" s="354"/>
      <c r="L281" s="354"/>
      <c r="M281" s="558" t="s">
        <v>140</v>
      </c>
      <c r="N281" s="558"/>
      <c r="O281" s="558"/>
      <c r="P281" s="369">
        <f>SUM(P282:P289)</f>
        <v>5340780</v>
      </c>
      <c r="Q281" s="38" t="s">
        <v>482</v>
      </c>
    </row>
    <row r="282" spans="1:17" ht="15.95" customHeight="1">
      <c r="A282" s="227"/>
      <c r="B282" s="487" t="s">
        <v>483</v>
      </c>
      <c r="C282" s="583"/>
      <c r="D282" s="649"/>
      <c r="E282" s="651"/>
      <c r="F282" s="636"/>
      <c r="G282" s="653">
        <f>+E282-D282</f>
        <v>0</v>
      </c>
      <c r="H282" s="655" t="e">
        <f t="shared" si="16"/>
        <v>#DIV/0!</v>
      </c>
      <c r="I282" s="258" t="s">
        <v>484</v>
      </c>
      <c r="J282" s="48">
        <v>52000</v>
      </c>
      <c r="K282" s="67" t="s">
        <v>74</v>
      </c>
      <c r="L282" s="47" t="s">
        <v>32</v>
      </c>
      <c r="M282" s="478">
        <v>25</v>
      </c>
      <c r="N282" s="478" t="s">
        <v>144</v>
      </c>
      <c r="O282" s="52" t="s">
        <v>73</v>
      </c>
      <c r="P282" s="72">
        <v>1300000</v>
      </c>
      <c r="Q282" s="49" t="s">
        <v>74</v>
      </c>
    </row>
    <row r="283" spans="1:17" ht="15.95" customHeight="1">
      <c r="A283" s="227"/>
      <c r="B283" s="43"/>
      <c r="C283" s="583"/>
      <c r="D283" s="649"/>
      <c r="E283" s="651"/>
      <c r="F283" s="636"/>
      <c r="G283" s="653"/>
      <c r="H283" s="655"/>
      <c r="I283" s="258" t="s">
        <v>485</v>
      </c>
      <c r="J283" s="48">
        <v>3000</v>
      </c>
      <c r="K283" s="67" t="s">
        <v>74</v>
      </c>
      <c r="L283" s="47" t="s">
        <v>32</v>
      </c>
      <c r="M283" s="478">
        <v>500</v>
      </c>
      <c r="N283" s="478" t="s">
        <v>486</v>
      </c>
      <c r="O283" s="52" t="s">
        <v>73</v>
      </c>
      <c r="P283" s="72">
        <f t="shared" ref="P283:P289" si="17">J283*M283</f>
        <v>1500000</v>
      </c>
      <c r="Q283" s="49" t="s">
        <v>74</v>
      </c>
    </row>
    <row r="284" spans="1:17" ht="15.95" customHeight="1">
      <c r="A284" s="227"/>
      <c r="B284" s="43"/>
      <c r="C284" s="583"/>
      <c r="D284" s="649"/>
      <c r="E284" s="651"/>
      <c r="F284" s="636"/>
      <c r="G284" s="653"/>
      <c r="H284" s="655"/>
      <c r="I284" s="258" t="s">
        <v>487</v>
      </c>
      <c r="J284" s="48">
        <v>200000</v>
      </c>
      <c r="K284" s="67" t="s">
        <v>74</v>
      </c>
      <c r="L284" s="47" t="s">
        <v>32</v>
      </c>
      <c r="M284" s="478">
        <v>1</v>
      </c>
      <c r="N284" s="478" t="s">
        <v>144</v>
      </c>
      <c r="O284" s="52" t="s">
        <v>73</v>
      </c>
      <c r="P284" s="72">
        <f t="shared" si="17"/>
        <v>200000</v>
      </c>
      <c r="Q284" s="49" t="s">
        <v>74</v>
      </c>
    </row>
    <row r="285" spans="1:17" ht="15.95" customHeight="1">
      <c r="A285" s="227"/>
      <c r="B285" s="43"/>
      <c r="C285" s="583"/>
      <c r="D285" s="649"/>
      <c r="E285" s="651"/>
      <c r="F285" s="636"/>
      <c r="G285" s="653">
        <f>+E285-D285</f>
        <v>0</v>
      </c>
      <c r="H285" s="655" t="e">
        <f t="shared" si="16"/>
        <v>#DIV/0!</v>
      </c>
      <c r="I285" s="258" t="s">
        <v>488</v>
      </c>
      <c r="J285" s="48">
        <v>1249980</v>
      </c>
      <c r="K285" s="67" t="s">
        <v>74</v>
      </c>
      <c r="L285" s="47" t="s">
        <v>32</v>
      </c>
      <c r="M285" s="478">
        <v>1</v>
      </c>
      <c r="N285" s="478" t="s">
        <v>144</v>
      </c>
      <c r="O285" s="52" t="s">
        <v>73</v>
      </c>
      <c r="P285" s="72">
        <v>1249980</v>
      </c>
      <c r="Q285" s="49" t="s">
        <v>74</v>
      </c>
    </row>
    <row r="286" spans="1:17" ht="15.95" customHeight="1">
      <c r="A286" s="227"/>
      <c r="B286" s="43"/>
      <c r="C286" s="583"/>
      <c r="D286" s="649"/>
      <c r="E286" s="651"/>
      <c r="F286" s="636"/>
      <c r="G286" s="653"/>
      <c r="H286" s="655"/>
      <c r="I286" s="122" t="s">
        <v>489</v>
      </c>
      <c r="J286" s="72">
        <v>950000</v>
      </c>
      <c r="K286" s="107" t="s">
        <v>74</v>
      </c>
      <c r="L286" s="74" t="s">
        <v>32</v>
      </c>
      <c r="M286" s="73">
        <v>0</v>
      </c>
      <c r="N286" s="73" t="s">
        <v>144</v>
      </c>
      <c r="O286" s="73" t="s">
        <v>490</v>
      </c>
      <c r="P286" s="72">
        <v>0</v>
      </c>
      <c r="Q286" s="49" t="s">
        <v>74</v>
      </c>
    </row>
    <row r="287" spans="1:17" ht="15.95" customHeight="1">
      <c r="A287" s="227"/>
      <c r="B287" s="43"/>
      <c r="C287" s="583"/>
      <c r="D287" s="649"/>
      <c r="E287" s="651"/>
      <c r="F287" s="636"/>
      <c r="G287" s="653"/>
      <c r="H287" s="655"/>
      <c r="I287" s="122" t="s">
        <v>491</v>
      </c>
      <c r="J287" s="72">
        <v>240800</v>
      </c>
      <c r="K287" s="107" t="s">
        <v>74</v>
      </c>
      <c r="L287" s="74" t="s">
        <v>32</v>
      </c>
      <c r="M287" s="73">
        <v>1</v>
      </c>
      <c r="N287" s="73" t="s">
        <v>144</v>
      </c>
      <c r="O287" s="73" t="s">
        <v>490</v>
      </c>
      <c r="P287" s="72">
        <f t="shared" si="17"/>
        <v>240800</v>
      </c>
      <c r="Q287" s="49" t="s">
        <v>141</v>
      </c>
    </row>
    <row r="288" spans="1:17" ht="15.95" customHeight="1">
      <c r="A288" s="227"/>
      <c r="B288" s="43"/>
      <c r="C288" s="583"/>
      <c r="D288" s="649"/>
      <c r="E288" s="651"/>
      <c r="F288" s="636"/>
      <c r="G288" s="653">
        <f>+E288-D288</f>
        <v>0</v>
      </c>
      <c r="H288" s="655" t="e">
        <f t="shared" si="16"/>
        <v>#DIV/0!</v>
      </c>
      <c r="I288" s="122" t="s">
        <v>492</v>
      </c>
      <c r="J288" s="72">
        <v>75000</v>
      </c>
      <c r="K288" s="107" t="s">
        <v>141</v>
      </c>
      <c r="L288" s="74" t="s">
        <v>32</v>
      </c>
      <c r="M288" s="73">
        <v>8</v>
      </c>
      <c r="N288" s="73" t="s">
        <v>144</v>
      </c>
      <c r="O288" s="73" t="s">
        <v>490</v>
      </c>
      <c r="P288" s="72">
        <v>600000</v>
      </c>
      <c r="Q288" s="49" t="s">
        <v>74</v>
      </c>
    </row>
    <row r="289" spans="1:17" ht="15.95" customHeight="1">
      <c r="A289" s="227"/>
      <c r="B289" s="43"/>
      <c r="C289" s="656"/>
      <c r="D289" s="657"/>
      <c r="E289" s="658"/>
      <c r="F289" s="647"/>
      <c r="G289" s="659"/>
      <c r="H289" s="660"/>
      <c r="I289" s="122" t="s">
        <v>493</v>
      </c>
      <c r="J289" s="72">
        <v>250000</v>
      </c>
      <c r="K289" s="107" t="s">
        <v>482</v>
      </c>
      <c r="L289" s="74" t="s">
        <v>32</v>
      </c>
      <c r="M289" s="73">
        <v>1</v>
      </c>
      <c r="N289" s="73" t="s">
        <v>144</v>
      </c>
      <c r="O289" s="73" t="s">
        <v>490</v>
      </c>
      <c r="P289" s="72">
        <f t="shared" si="17"/>
        <v>250000</v>
      </c>
      <c r="Q289" s="49" t="s">
        <v>74</v>
      </c>
    </row>
    <row r="290" spans="1:17" ht="15.95" customHeight="1">
      <c r="A290" s="227"/>
      <c r="B290" s="43"/>
      <c r="C290" s="560" t="s">
        <v>494</v>
      </c>
      <c r="D290" s="648">
        <v>16200</v>
      </c>
      <c r="E290" s="650">
        <f>+P290/1000</f>
        <v>12699.995999999999</v>
      </c>
      <c r="F290" s="635">
        <v>18037</v>
      </c>
      <c r="G290" s="652">
        <f t="shared" ref="G290:G296" si="18">+E290-D290</f>
        <v>-3500.0040000000008</v>
      </c>
      <c r="H290" s="654">
        <f t="shared" ref="H290:H296" si="19">+G290/D290*100</f>
        <v>-21.604962962962968</v>
      </c>
      <c r="I290" s="376"/>
      <c r="J290" s="121"/>
      <c r="K290" s="354"/>
      <c r="L290" s="354"/>
      <c r="M290" s="558" t="s">
        <v>22</v>
      </c>
      <c r="N290" s="558"/>
      <c r="O290" s="558"/>
      <c r="P290" s="369">
        <f>SUM(P291:P293)</f>
        <v>12699996</v>
      </c>
      <c r="Q290" s="38" t="s">
        <v>23</v>
      </c>
    </row>
    <row r="291" spans="1:17" ht="15.95" customHeight="1">
      <c r="A291" s="227"/>
      <c r="B291" s="43"/>
      <c r="C291" s="561"/>
      <c r="D291" s="649"/>
      <c r="E291" s="651"/>
      <c r="F291" s="636"/>
      <c r="G291" s="653"/>
      <c r="H291" s="655"/>
      <c r="I291" s="122" t="s">
        <v>495</v>
      </c>
      <c r="J291" s="72">
        <v>100000</v>
      </c>
      <c r="K291" s="107" t="s">
        <v>74</v>
      </c>
      <c r="L291" s="74" t="s">
        <v>32</v>
      </c>
      <c r="M291" s="73">
        <v>4</v>
      </c>
      <c r="N291" s="73" t="s">
        <v>42</v>
      </c>
      <c r="O291" s="75" t="s">
        <v>73</v>
      </c>
      <c r="P291" s="109">
        <f>+J291*M291</f>
        <v>400000</v>
      </c>
      <c r="Q291" s="49" t="s">
        <v>74</v>
      </c>
    </row>
    <row r="292" spans="1:17" ht="15.95" customHeight="1">
      <c r="A292" s="227"/>
      <c r="B292" s="43"/>
      <c r="C292" s="535"/>
      <c r="D292" s="649"/>
      <c r="E292" s="651"/>
      <c r="F292" s="636"/>
      <c r="G292" s="653">
        <f t="shared" si="18"/>
        <v>0</v>
      </c>
      <c r="H292" s="655" t="e">
        <f t="shared" si="19"/>
        <v>#DIV/0!</v>
      </c>
      <c r="I292" s="122" t="s">
        <v>496</v>
      </c>
      <c r="J292" s="72">
        <v>950000</v>
      </c>
      <c r="K292" s="107" t="s">
        <v>74</v>
      </c>
      <c r="L292" s="74" t="s">
        <v>32</v>
      </c>
      <c r="M292" s="73">
        <v>12</v>
      </c>
      <c r="N292" s="73" t="s">
        <v>26</v>
      </c>
      <c r="O292" s="75" t="s">
        <v>73</v>
      </c>
      <c r="P292" s="109">
        <f>(+J292*M292)-4</f>
        <v>11399996</v>
      </c>
      <c r="Q292" s="49" t="s">
        <v>74</v>
      </c>
    </row>
    <row r="293" spans="1:17" ht="15.95" customHeight="1">
      <c r="A293" s="227"/>
      <c r="B293" s="43"/>
      <c r="C293" s="535"/>
      <c r="D293" s="649"/>
      <c r="E293" s="651"/>
      <c r="F293" s="647"/>
      <c r="G293" s="653">
        <f t="shared" si="18"/>
        <v>0</v>
      </c>
      <c r="H293" s="655" t="e">
        <f t="shared" si="19"/>
        <v>#DIV/0!</v>
      </c>
      <c r="I293" s="475" t="s">
        <v>497</v>
      </c>
      <c r="J293" s="522">
        <v>75000</v>
      </c>
      <c r="K293" s="108" t="s">
        <v>74</v>
      </c>
      <c r="L293" s="74" t="s">
        <v>32</v>
      </c>
      <c r="M293" s="73">
        <v>12</v>
      </c>
      <c r="N293" s="73" t="s">
        <v>498</v>
      </c>
      <c r="O293" s="75" t="s">
        <v>73</v>
      </c>
      <c r="P293" s="109">
        <f>+J293*M293</f>
        <v>900000</v>
      </c>
      <c r="Q293" s="523" t="s">
        <v>74</v>
      </c>
    </row>
    <row r="294" spans="1:17" ht="18" customHeight="1">
      <c r="A294" s="39"/>
      <c r="B294" s="160" t="s">
        <v>499</v>
      </c>
      <c r="C294" s="372" t="s">
        <v>19</v>
      </c>
      <c r="D294" s="500">
        <f>SUM(D295:D296)</f>
        <v>10000</v>
      </c>
      <c r="E294" s="501">
        <f>SUM(E295:E296)</f>
        <v>10000</v>
      </c>
      <c r="F294" s="498">
        <f>SUM(F295:F296)</f>
        <v>2500</v>
      </c>
      <c r="G294" s="502">
        <f t="shared" si="18"/>
        <v>0</v>
      </c>
      <c r="H294" s="503">
        <f t="shared" si="19"/>
        <v>0</v>
      </c>
      <c r="I294" s="315"/>
      <c r="J294" s="168"/>
      <c r="K294" s="61"/>
      <c r="L294" s="169"/>
      <c r="M294" s="459"/>
      <c r="N294" s="459"/>
      <c r="O294" s="170"/>
      <c r="P294" s="168">
        <f>P295</f>
        <v>10000000</v>
      </c>
      <c r="Q294" s="98" t="s">
        <v>14</v>
      </c>
    </row>
    <row r="295" spans="1:17" ht="18" customHeight="1">
      <c r="A295" s="39"/>
      <c r="B295" s="43" t="s">
        <v>316</v>
      </c>
      <c r="C295" s="645" t="s">
        <v>500</v>
      </c>
      <c r="D295" s="616">
        <v>10000</v>
      </c>
      <c r="E295" s="552">
        <f>+P295/1000</f>
        <v>10000</v>
      </c>
      <c r="F295" s="635">
        <v>2500</v>
      </c>
      <c r="G295" s="607">
        <f t="shared" si="18"/>
        <v>0</v>
      </c>
      <c r="H295" s="610">
        <f t="shared" si="19"/>
        <v>0</v>
      </c>
      <c r="I295" s="255"/>
      <c r="J295" s="42"/>
      <c r="K295" s="69"/>
      <c r="L295" s="457"/>
      <c r="M295" s="528" t="s">
        <v>22</v>
      </c>
      <c r="N295" s="528"/>
      <c r="O295" s="528"/>
      <c r="P295" s="42">
        <f>SUM(P296)</f>
        <v>10000000</v>
      </c>
      <c r="Q295" s="38" t="s">
        <v>23</v>
      </c>
    </row>
    <row r="296" spans="1:17" ht="18" customHeight="1">
      <c r="A296" s="269"/>
      <c r="B296" s="270"/>
      <c r="C296" s="646"/>
      <c r="D296" s="632"/>
      <c r="E296" s="565"/>
      <c r="F296" s="647"/>
      <c r="G296" s="609">
        <f t="shared" si="18"/>
        <v>0</v>
      </c>
      <c r="H296" s="612" t="e">
        <f t="shared" si="19"/>
        <v>#DIV/0!</v>
      </c>
      <c r="I296" s="256" t="s">
        <v>500</v>
      </c>
      <c r="J296" s="142">
        <v>10000000</v>
      </c>
      <c r="K296" s="245" t="s">
        <v>23</v>
      </c>
      <c r="L296" s="144" t="s">
        <v>32</v>
      </c>
      <c r="M296" s="143">
        <v>1</v>
      </c>
      <c r="N296" s="143" t="s">
        <v>82</v>
      </c>
      <c r="O296" s="145" t="s">
        <v>34</v>
      </c>
      <c r="P296" s="142">
        <f>SUM(J296*M296)</f>
        <v>10000000</v>
      </c>
      <c r="Q296" s="146" t="s">
        <v>23</v>
      </c>
    </row>
    <row r="297" spans="1:17" ht="20.100000000000001" customHeight="1">
      <c r="A297" s="55" t="s">
        <v>501</v>
      </c>
      <c r="B297" s="564" t="s">
        <v>502</v>
      </c>
      <c r="C297" s="637"/>
      <c r="D297" s="261">
        <f>+D298</f>
        <v>14142</v>
      </c>
      <c r="E297" s="261">
        <f>+E298</f>
        <v>14141.64</v>
      </c>
      <c r="F297" s="262"/>
      <c r="G297" s="263">
        <f>+E297-D297</f>
        <v>-0.36000000000058208</v>
      </c>
      <c r="H297" s="381">
        <f>+G297/D297*100</f>
        <v>-2.5456088247813751E-3</v>
      </c>
      <c r="I297" s="255"/>
      <c r="J297" s="42"/>
      <c r="K297" s="69"/>
      <c r="L297" s="53"/>
      <c r="M297" s="457"/>
      <c r="N297" s="457"/>
      <c r="O297" s="174"/>
      <c r="P297" s="268">
        <f>P298</f>
        <v>14141640</v>
      </c>
      <c r="Q297" s="180" t="s">
        <v>14</v>
      </c>
    </row>
    <row r="298" spans="1:17" ht="15.95" customHeight="1">
      <c r="A298" s="39"/>
      <c r="B298" s="30" t="s">
        <v>501</v>
      </c>
      <c r="C298" s="642" t="s">
        <v>501</v>
      </c>
      <c r="D298" s="616">
        <v>14142</v>
      </c>
      <c r="E298" s="552">
        <f>+P298/1000</f>
        <v>14141.64</v>
      </c>
      <c r="F298" s="489"/>
      <c r="G298" s="607">
        <f>+E298-D298</f>
        <v>-0.36000000000058208</v>
      </c>
      <c r="H298" s="610">
        <f>+G298/D298*100</f>
        <v>-2.5456088247813751E-3</v>
      </c>
      <c r="I298" s="239"/>
      <c r="J298" s="54"/>
      <c r="K298" s="69"/>
      <c r="L298" s="53"/>
      <c r="M298" s="528" t="s">
        <v>22</v>
      </c>
      <c r="N298" s="528"/>
      <c r="O298" s="528"/>
      <c r="P298" s="42">
        <f>SUM(P299:P300)</f>
        <v>14141640</v>
      </c>
      <c r="Q298" s="38" t="s">
        <v>23</v>
      </c>
    </row>
    <row r="299" spans="1:17" ht="15.95" customHeight="1">
      <c r="A299" s="39"/>
      <c r="B299" s="43"/>
      <c r="C299" s="643"/>
      <c r="D299" s="631"/>
      <c r="E299" s="537"/>
      <c r="F299" s="490"/>
      <c r="G299" s="608"/>
      <c r="H299" s="611"/>
      <c r="I299" s="242" t="s">
        <v>503</v>
      </c>
      <c r="J299" s="48">
        <v>5000000</v>
      </c>
      <c r="K299" s="67" t="s">
        <v>74</v>
      </c>
      <c r="L299" s="47" t="s">
        <v>32</v>
      </c>
      <c r="M299" s="478">
        <v>1</v>
      </c>
      <c r="N299" s="478" t="s">
        <v>42</v>
      </c>
      <c r="O299" s="52" t="s">
        <v>73</v>
      </c>
      <c r="P299" s="68">
        <f>+J299*M299</f>
        <v>5000000</v>
      </c>
      <c r="Q299" s="49" t="s">
        <v>74</v>
      </c>
    </row>
    <row r="300" spans="1:17" ht="15.95" customHeight="1">
      <c r="A300" s="39"/>
      <c r="B300" s="270"/>
      <c r="C300" s="644"/>
      <c r="D300" s="632"/>
      <c r="E300" s="565"/>
      <c r="F300" s="490"/>
      <c r="G300" s="609"/>
      <c r="H300" s="612"/>
      <c r="I300" s="258" t="s">
        <v>504</v>
      </c>
      <c r="J300" s="48">
        <v>9141640</v>
      </c>
      <c r="K300" s="67" t="s">
        <v>74</v>
      </c>
      <c r="L300" s="47" t="s">
        <v>32</v>
      </c>
      <c r="M300" s="478">
        <v>1</v>
      </c>
      <c r="N300" s="478" t="s">
        <v>42</v>
      </c>
      <c r="O300" s="52" t="s">
        <v>73</v>
      </c>
      <c r="P300" s="68">
        <f>+J300*M300</f>
        <v>9141640</v>
      </c>
      <c r="Q300" s="49" t="s">
        <v>74</v>
      </c>
    </row>
    <row r="301" spans="1:17" ht="20.100000000000001" customHeight="1">
      <c r="A301" s="382" t="s">
        <v>505</v>
      </c>
      <c r="B301" s="564" t="s">
        <v>16</v>
      </c>
      <c r="C301" s="637"/>
      <c r="D301" s="260">
        <f>SUM(D302:D305)</f>
        <v>80100</v>
      </c>
      <c r="E301" s="260">
        <f>SUM(E302:E305)</f>
        <v>80100</v>
      </c>
      <c r="F301" s="262">
        <f>SUM(F302:F305)</f>
        <v>31393</v>
      </c>
      <c r="G301" s="263">
        <f>+E301-D301</f>
        <v>0</v>
      </c>
      <c r="H301" s="381">
        <f>+G301/D301*100</f>
        <v>0</v>
      </c>
      <c r="I301" s="255"/>
      <c r="J301" s="42"/>
      <c r="K301" s="69"/>
      <c r="L301" s="53"/>
      <c r="M301" s="457"/>
      <c r="N301" s="457"/>
      <c r="O301" s="174"/>
      <c r="P301" s="268">
        <f>SUM(P302,P304)</f>
        <v>80100000</v>
      </c>
      <c r="Q301" s="180" t="s">
        <v>14</v>
      </c>
    </row>
    <row r="302" spans="1:17" ht="15.95" customHeight="1">
      <c r="A302" s="227"/>
      <c r="B302" s="383" t="s">
        <v>506</v>
      </c>
      <c r="C302" s="638" t="s">
        <v>507</v>
      </c>
      <c r="D302" s="616">
        <v>78000</v>
      </c>
      <c r="E302" s="616">
        <f>+P302/1000</f>
        <v>78000</v>
      </c>
      <c r="F302" s="489">
        <v>0</v>
      </c>
      <c r="G302" s="607">
        <f>+E302-D302</f>
        <v>0</v>
      </c>
      <c r="H302" s="640">
        <f>+G302/D302*100</f>
        <v>0</v>
      </c>
      <c r="I302" s="255"/>
      <c r="J302" s="42"/>
      <c r="K302" s="69"/>
      <c r="L302" s="457"/>
      <c r="M302" s="528" t="s">
        <v>22</v>
      </c>
      <c r="N302" s="528"/>
      <c r="O302" s="528"/>
      <c r="P302" s="42">
        <f>SUM(P303:P303)</f>
        <v>78000000</v>
      </c>
      <c r="Q302" s="38" t="s">
        <v>23</v>
      </c>
    </row>
    <row r="303" spans="1:17" ht="15.95" customHeight="1">
      <c r="A303" s="227"/>
      <c r="B303" s="384"/>
      <c r="C303" s="639"/>
      <c r="D303" s="632"/>
      <c r="E303" s="632"/>
      <c r="F303" s="490"/>
      <c r="G303" s="609"/>
      <c r="H303" s="641"/>
      <c r="I303" s="258" t="s">
        <v>508</v>
      </c>
      <c r="J303" s="48">
        <v>6500000</v>
      </c>
      <c r="K303" s="67" t="s">
        <v>74</v>
      </c>
      <c r="L303" s="47" t="s">
        <v>32</v>
      </c>
      <c r="M303" s="478">
        <v>12</v>
      </c>
      <c r="N303" s="478" t="s">
        <v>42</v>
      </c>
      <c r="O303" s="52" t="s">
        <v>73</v>
      </c>
      <c r="P303" s="68">
        <f>+J303*M303</f>
        <v>78000000</v>
      </c>
      <c r="Q303" s="49" t="s">
        <v>74</v>
      </c>
    </row>
    <row r="304" spans="1:17" ht="15.95" customHeight="1">
      <c r="A304" s="227"/>
      <c r="B304" s="384"/>
      <c r="C304" s="633" t="s">
        <v>509</v>
      </c>
      <c r="D304" s="616">
        <v>2100</v>
      </c>
      <c r="E304" s="552">
        <f>+P304/1000</f>
        <v>2100</v>
      </c>
      <c r="F304" s="635">
        <v>31393</v>
      </c>
      <c r="G304" s="607">
        <f>+E304-D304</f>
        <v>0</v>
      </c>
      <c r="H304" s="610">
        <f>+G304/D304*100</f>
        <v>0</v>
      </c>
      <c r="I304" s="255" t="s">
        <v>2</v>
      </c>
      <c r="J304" s="42" t="s">
        <v>2</v>
      </c>
      <c r="K304" s="69" t="s">
        <v>2</v>
      </c>
      <c r="L304" s="53"/>
      <c r="M304" s="528" t="s">
        <v>22</v>
      </c>
      <c r="N304" s="528"/>
      <c r="O304" s="528"/>
      <c r="P304" s="42">
        <f>SUM(P305:P305)</f>
        <v>2100000</v>
      </c>
      <c r="Q304" s="38" t="s">
        <v>23</v>
      </c>
    </row>
    <row r="305" spans="1:18" ht="15.95" customHeight="1" thickBot="1">
      <c r="A305" s="227"/>
      <c r="B305" s="384"/>
      <c r="C305" s="634"/>
      <c r="D305" s="631"/>
      <c r="E305" s="537"/>
      <c r="F305" s="636"/>
      <c r="G305" s="608"/>
      <c r="H305" s="611"/>
      <c r="I305" s="258" t="s">
        <v>510</v>
      </c>
      <c r="J305" s="48">
        <v>175000</v>
      </c>
      <c r="K305" s="67" t="s">
        <v>74</v>
      </c>
      <c r="L305" s="47" t="s">
        <v>32</v>
      </c>
      <c r="M305" s="478">
        <v>12</v>
      </c>
      <c r="N305" s="478" t="s">
        <v>42</v>
      </c>
      <c r="O305" s="52" t="s">
        <v>73</v>
      </c>
      <c r="P305" s="68">
        <f>+J305*M305</f>
        <v>2100000</v>
      </c>
      <c r="Q305" s="49" t="s">
        <v>74</v>
      </c>
    </row>
    <row r="306" spans="1:18" ht="21.75" customHeight="1">
      <c r="A306" s="385" t="s">
        <v>511</v>
      </c>
      <c r="B306" s="620" t="s">
        <v>16</v>
      </c>
      <c r="C306" s="621"/>
      <c r="D306" s="386">
        <f>SUM(D307:D383)</f>
        <v>2015519</v>
      </c>
      <c r="E306" s="387">
        <f>P306/1000</f>
        <v>1888764.62</v>
      </c>
      <c r="F306" s="284" t="e">
        <f>SUM(F307:F315,F317:F359)</f>
        <v>#VALUE!</v>
      </c>
      <c r="G306" s="285">
        <f>+E306-D306</f>
        <v>-126754.37999999989</v>
      </c>
      <c r="H306" s="286">
        <f>+G306/D306*100</f>
        <v>-6.2889201242955233</v>
      </c>
      <c r="I306" s="324"/>
      <c r="J306" s="288"/>
      <c r="K306" s="289"/>
      <c r="L306" s="290"/>
      <c r="M306" s="290"/>
      <c r="N306" s="290"/>
      <c r="O306" s="290"/>
      <c r="P306" s="288">
        <f>SUM(P307:P383)</f>
        <v>1888764620</v>
      </c>
      <c r="Q306" s="291" t="s">
        <v>14</v>
      </c>
    </row>
    <row r="307" spans="1:18" ht="17.45" customHeight="1">
      <c r="A307" s="227"/>
      <c r="B307" s="487" t="s">
        <v>512</v>
      </c>
      <c r="C307" s="388" t="s">
        <v>513</v>
      </c>
      <c r="D307" s="500">
        <v>55000</v>
      </c>
      <c r="E307" s="500">
        <f>P307/1000</f>
        <v>55120</v>
      </c>
      <c r="F307" s="389"/>
      <c r="G307" s="502">
        <f>E307-D307</f>
        <v>120</v>
      </c>
      <c r="H307" s="503">
        <f>+G307/D307*100</f>
        <v>0.2181818181818182</v>
      </c>
      <c r="I307" s="239" t="s">
        <v>514</v>
      </c>
      <c r="J307" s="42">
        <v>13780000</v>
      </c>
      <c r="K307" s="69" t="s">
        <v>23</v>
      </c>
      <c r="L307" s="53" t="s">
        <v>32</v>
      </c>
      <c r="M307" s="457">
        <v>4</v>
      </c>
      <c r="N307" s="457" t="s">
        <v>33</v>
      </c>
      <c r="O307" s="174" t="s">
        <v>34</v>
      </c>
      <c r="P307" s="42">
        <f t="shared" ref="P307:P324" si="20">SUM(J307*M307)</f>
        <v>55120000</v>
      </c>
      <c r="Q307" s="38" t="s">
        <v>23</v>
      </c>
    </row>
    <row r="308" spans="1:18" ht="17.45" customHeight="1">
      <c r="A308" s="227"/>
      <c r="B308" s="43"/>
      <c r="C308" s="390" t="s">
        <v>515</v>
      </c>
      <c r="D308" s="500">
        <v>58000</v>
      </c>
      <c r="E308" s="500">
        <f t="shared" ref="E308:E363" si="21">P308/1000</f>
        <v>58120</v>
      </c>
      <c r="F308" s="389"/>
      <c r="G308" s="502">
        <f t="shared" ref="G308:G316" si="22">E308-D308</f>
        <v>120</v>
      </c>
      <c r="H308" s="503">
        <f t="shared" ref="H308:H349" si="23">+G308/D308*100</f>
        <v>0.20689655172413793</v>
      </c>
      <c r="I308" s="242" t="s">
        <v>514</v>
      </c>
      <c r="J308" s="51">
        <v>14530000</v>
      </c>
      <c r="K308" s="67" t="s">
        <v>23</v>
      </c>
      <c r="L308" s="47" t="s">
        <v>32</v>
      </c>
      <c r="M308" s="478">
        <v>4</v>
      </c>
      <c r="N308" s="478" t="s">
        <v>33</v>
      </c>
      <c r="O308" s="52" t="s">
        <v>34</v>
      </c>
      <c r="P308" s="51">
        <f t="shared" si="20"/>
        <v>58120000</v>
      </c>
      <c r="Q308" s="49" t="s">
        <v>23</v>
      </c>
    </row>
    <row r="309" spans="1:18" ht="17.45" customHeight="1">
      <c r="A309" s="227"/>
      <c r="B309" s="43"/>
      <c r="C309" s="390" t="s">
        <v>516</v>
      </c>
      <c r="D309" s="391">
        <v>58000</v>
      </c>
      <c r="E309" s="500">
        <f t="shared" si="21"/>
        <v>58240</v>
      </c>
      <c r="F309" s="389"/>
      <c r="G309" s="502">
        <f t="shared" si="22"/>
        <v>240</v>
      </c>
      <c r="H309" s="503">
        <f t="shared" si="23"/>
        <v>0.41379310344827586</v>
      </c>
      <c r="I309" s="242" t="s">
        <v>514</v>
      </c>
      <c r="J309" s="51">
        <v>14560000</v>
      </c>
      <c r="K309" s="67" t="s">
        <v>23</v>
      </c>
      <c r="L309" s="47" t="s">
        <v>32</v>
      </c>
      <c r="M309" s="478">
        <v>4</v>
      </c>
      <c r="N309" s="478" t="s">
        <v>33</v>
      </c>
      <c r="O309" s="52" t="s">
        <v>34</v>
      </c>
      <c r="P309" s="51">
        <f t="shared" si="20"/>
        <v>58240000</v>
      </c>
      <c r="Q309" s="49" t="s">
        <v>23</v>
      </c>
    </row>
    <row r="310" spans="1:18" ht="17.45" customHeight="1">
      <c r="A310" s="227"/>
      <c r="B310" s="43"/>
      <c r="C310" s="388" t="s">
        <v>517</v>
      </c>
      <c r="D310" s="391">
        <v>50000</v>
      </c>
      <c r="E310" s="500">
        <f t="shared" si="21"/>
        <v>50240</v>
      </c>
      <c r="F310" s="389"/>
      <c r="G310" s="502">
        <f t="shared" si="22"/>
        <v>240</v>
      </c>
      <c r="H310" s="503">
        <f t="shared" si="23"/>
        <v>0.48</v>
      </c>
      <c r="I310" s="242" t="s">
        <v>514</v>
      </c>
      <c r="J310" s="51">
        <v>12560000</v>
      </c>
      <c r="K310" s="67" t="s">
        <v>74</v>
      </c>
      <c r="L310" s="47" t="s">
        <v>32</v>
      </c>
      <c r="M310" s="478">
        <v>4</v>
      </c>
      <c r="N310" s="478" t="s">
        <v>144</v>
      </c>
      <c r="O310" s="52" t="s">
        <v>73</v>
      </c>
      <c r="P310" s="51">
        <f t="shared" si="20"/>
        <v>50240000</v>
      </c>
      <c r="Q310" s="49" t="s">
        <v>74</v>
      </c>
    </row>
    <row r="311" spans="1:18" ht="17.45" customHeight="1">
      <c r="A311" s="227"/>
      <c r="B311" s="43"/>
      <c r="C311" s="392" t="s">
        <v>518</v>
      </c>
      <c r="D311" s="391">
        <v>45000</v>
      </c>
      <c r="E311" s="500">
        <f t="shared" si="21"/>
        <v>45240</v>
      </c>
      <c r="F311" s="389"/>
      <c r="G311" s="502">
        <f t="shared" si="22"/>
        <v>240</v>
      </c>
      <c r="H311" s="503">
        <f t="shared" si="23"/>
        <v>0.53333333333333333</v>
      </c>
      <c r="I311" s="242" t="s">
        <v>514</v>
      </c>
      <c r="J311" s="51">
        <v>11310000</v>
      </c>
      <c r="K311" s="67" t="s">
        <v>23</v>
      </c>
      <c r="L311" s="47" t="s">
        <v>32</v>
      </c>
      <c r="M311" s="478">
        <v>4</v>
      </c>
      <c r="N311" s="478" t="s">
        <v>33</v>
      </c>
      <c r="O311" s="52" t="s">
        <v>34</v>
      </c>
      <c r="P311" s="51">
        <f t="shared" si="20"/>
        <v>45240000</v>
      </c>
      <c r="Q311" s="49" t="s">
        <v>23</v>
      </c>
    </row>
    <row r="312" spans="1:18" ht="17.45" customHeight="1">
      <c r="A312" s="227"/>
      <c r="B312" s="43"/>
      <c r="C312" s="388" t="s">
        <v>519</v>
      </c>
      <c r="D312" s="391">
        <v>50000</v>
      </c>
      <c r="E312" s="500">
        <f t="shared" si="21"/>
        <v>50240</v>
      </c>
      <c r="F312" s="389"/>
      <c r="G312" s="502">
        <f t="shared" si="22"/>
        <v>240</v>
      </c>
      <c r="H312" s="503">
        <f t="shared" si="23"/>
        <v>0.48</v>
      </c>
      <c r="I312" s="242" t="s">
        <v>514</v>
      </c>
      <c r="J312" s="51">
        <v>12560000</v>
      </c>
      <c r="K312" s="67" t="s">
        <v>23</v>
      </c>
      <c r="L312" s="47" t="s">
        <v>32</v>
      </c>
      <c r="M312" s="478">
        <v>4</v>
      </c>
      <c r="N312" s="478" t="s">
        <v>33</v>
      </c>
      <c r="O312" s="52" t="s">
        <v>34</v>
      </c>
      <c r="P312" s="51">
        <f t="shared" si="20"/>
        <v>50240000</v>
      </c>
      <c r="Q312" s="49" t="s">
        <v>23</v>
      </c>
    </row>
    <row r="313" spans="1:18" ht="17.45" customHeight="1">
      <c r="A313" s="227"/>
      <c r="B313" s="43"/>
      <c r="C313" s="388" t="s">
        <v>520</v>
      </c>
      <c r="D313" s="391">
        <v>30000</v>
      </c>
      <c r="E313" s="500">
        <f t="shared" si="21"/>
        <v>32120</v>
      </c>
      <c r="F313" s="389"/>
      <c r="G313" s="502">
        <f t="shared" si="22"/>
        <v>2120</v>
      </c>
      <c r="H313" s="503">
        <f t="shared" si="23"/>
        <v>7.0666666666666673</v>
      </c>
      <c r="I313" s="242" t="s">
        <v>514</v>
      </c>
      <c r="J313" s="51">
        <v>8030000</v>
      </c>
      <c r="K313" s="67" t="s">
        <v>23</v>
      </c>
      <c r="L313" s="47" t="s">
        <v>32</v>
      </c>
      <c r="M313" s="478">
        <v>4</v>
      </c>
      <c r="N313" s="478" t="s">
        <v>33</v>
      </c>
      <c r="O313" s="52" t="s">
        <v>34</v>
      </c>
      <c r="P313" s="51">
        <f t="shared" si="20"/>
        <v>32120000</v>
      </c>
      <c r="Q313" s="49" t="s">
        <v>23</v>
      </c>
    </row>
    <row r="314" spans="1:18" ht="17.45" customHeight="1">
      <c r="A314" s="227"/>
      <c r="B314" s="43"/>
      <c r="C314" s="388" t="s">
        <v>521</v>
      </c>
      <c r="D314" s="391">
        <v>60000</v>
      </c>
      <c r="E314" s="500">
        <f t="shared" si="21"/>
        <v>60120</v>
      </c>
      <c r="F314" s="389"/>
      <c r="G314" s="502">
        <f t="shared" si="22"/>
        <v>120</v>
      </c>
      <c r="H314" s="503">
        <f t="shared" si="23"/>
        <v>0.2</v>
      </c>
      <c r="I314" s="242" t="s">
        <v>514</v>
      </c>
      <c r="J314" s="51">
        <v>15030000</v>
      </c>
      <c r="K314" s="67" t="s">
        <v>23</v>
      </c>
      <c r="L314" s="47" t="s">
        <v>32</v>
      </c>
      <c r="M314" s="478">
        <v>4</v>
      </c>
      <c r="N314" s="478" t="s">
        <v>33</v>
      </c>
      <c r="O314" s="52" t="s">
        <v>34</v>
      </c>
      <c r="P314" s="51">
        <f t="shared" si="20"/>
        <v>60120000</v>
      </c>
      <c r="Q314" s="49" t="s">
        <v>23</v>
      </c>
    </row>
    <row r="315" spans="1:18" ht="17.45" customHeight="1">
      <c r="A315" s="227"/>
      <c r="B315" s="43"/>
      <c r="C315" s="388" t="s">
        <v>522</v>
      </c>
      <c r="D315" s="391">
        <v>60000</v>
      </c>
      <c r="E315" s="500">
        <f t="shared" si="21"/>
        <v>60000</v>
      </c>
      <c r="F315" s="389"/>
      <c r="G315" s="502">
        <f t="shared" si="22"/>
        <v>0</v>
      </c>
      <c r="H315" s="503">
        <f t="shared" si="23"/>
        <v>0</v>
      </c>
      <c r="I315" s="242" t="s">
        <v>523</v>
      </c>
      <c r="J315" s="51">
        <f>60000000/4</f>
        <v>15000000</v>
      </c>
      <c r="K315" s="67" t="s">
        <v>23</v>
      </c>
      <c r="L315" s="47" t="s">
        <v>32</v>
      </c>
      <c r="M315" s="478">
        <v>4</v>
      </c>
      <c r="N315" s="478" t="s">
        <v>33</v>
      </c>
      <c r="O315" s="52" t="s">
        <v>34</v>
      </c>
      <c r="P315" s="51">
        <f t="shared" si="20"/>
        <v>60000000</v>
      </c>
      <c r="Q315" s="49" t="s">
        <v>23</v>
      </c>
    </row>
    <row r="316" spans="1:18" ht="17.45" customHeight="1">
      <c r="A316" s="282" t="s">
        <v>511</v>
      </c>
      <c r="B316" s="487" t="s">
        <v>512</v>
      </c>
      <c r="C316" s="388" t="s">
        <v>524</v>
      </c>
      <c r="D316" s="391">
        <v>20000</v>
      </c>
      <c r="E316" s="500">
        <f t="shared" si="21"/>
        <v>20000</v>
      </c>
      <c r="F316" s="389"/>
      <c r="G316" s="502">
        <f t="shared" si="22"/>
        <v>0</v>
      </c>
      <c r="H316" s="503">
        <f t="shared" si="23"/>
        <v>0</v>
      </c>
      <c r="I316" s="242" t="s">
        <v>525</v>
      </c>
      <c r="J316" s="51">
        <v>4000000</v>
      </c>
      <c r="K316" s="67" t="s">
        <v>23</v>
      </c>
      <c r="L316" s="47" t="s">
        <v>32</v>
      </c>
      <c r="M316" s="478">
        <v>5</v>
      </c>
      <c r="N316" s="478" t="s">
        <v>33</v>
      </c>
      <c r="O316" s="52" t="s">
        <v>34</v>
      </c>
      <c r="P316" s="51">
        <f t="shared" si="20"/>
        <v>20000000</v>
      </c>
      <c r="Q316" s="49" t="s">
        <v>23</v>
      </c>
    </row>
    <row r="317" spans="1:18" ht="17.45" customHeight="1">
      <c r="A317" s="227"/>
      <c r="B317" s="43"/>
      <c r="C317" s="392" t="s">
        <v>526</v>
      </c>
      <c r="D317" s="500">
        <v>30100</v>
      </c>
      <c r="E317" s="500">
        <f t="shared" si="21"/>
        <v>30100.22</v>
      </c>
      <c r="F317" s="389"/>
      <c r="G317" s="502">
        <f>E317-D317</f>
        <v>0.22000000000116415</v>
      </c>
      <c r="H317" s="503">
        <f t="shared" si="23"/>
        <v>7.3089700997064496E-4</v>
      </c>
      <c r="I317" s="242" t="s">
        <v>527</v>
      </c>
      <c r="J317" s="51">
        <v>6020044</v>
      </c>
      <c r="K317" s="67" t="s">
        <v>23</v>
      </c>
      <c r="L317" s="47" t="s">
        <v>32</v>
      </c>
      <c r="M317" s="478">
        <v>5</v>
      </c>
      <c r="N317" s="478" t="s">
        <v>33</v>
      </c>
      <c r="O317" s="52" t="s">
        <v>34</v>
      </c>
      <c r="P317" s="51">
        <f t="shared" si="20"/>
        <v>30100220</v>
      </c>
      <c r="Q317" s="49" t="s">
        <v>23</v>
      </c>
    </row>
    <row r="318" spans="1:18" ht="17.45" customHeight="1">
      <c r="A318" s="227"/>
      <c r="B318" s="43"/>
      <c r="C318" s="388" t="s">
        <v>528</v>
      </c>
      <c r="D318" s="500">
        <v>65000</v>
      </c>
      <c r="E318" s="500">
        <f t="shared" si="21"/>
        <v>65000</v>
      </c>
      <c r="F318" s="389"/>
      <c r="G318" s="502">
        <f t="shared" ref="G318:G363" si="24">+E318-D318</f>
        <v>0</v>
      </c>
      <c r="H318" s="503">
        <f t="shared" si="23"/>
        <v>0</v>
      </c>
      <c r="I318" s="242" t="s">
        <v>523</v>
      </c>
      <c r="J318" s="51">
        <v>16250000</v>
      </c>
      <c r="K318" s="67" t="s">
        <v>23</v>
      </c>
      <c r="L318" s="47" t="s">
        <v>32</v>
      </c>
      <c r="M318" s="478">
        <v>4</v>
      </c>
      <c r="N318" s="478" t="s">
        <v>33</v>
      </c>
      <c r="O318" s="52" t="s">
        <v>34</v>
      </c>
      <c r="P318" s="51">
        <f t="shared" si="20"/>
        <v>65000000</v>
      </c>
      <c r="Q318" s="49" t="s">
        <v>23</v>
      </c>
    </row>
    <row r="319" spans="1:18" ht="17.45" customHeight="1">
      <c r="A319" s="227"/>
      <c r="B319" s="43"/>
      <c r="C319" s="390" t="s">
        <v>529</v>
      </c>
      <c r="D319" s="500">
        <v>21019</v>
      </c>
      <c r="E319" s="500">
        <f>P319/1000</f>
        <v>41018.83</v>
      </c>
      <c r="F319" s="389"/>
      <c r="G319" s="502">
        <f>+E319-D319</f>
        <v>19999.830000000002</v>
      </c>
      <c r="H319" s="503">
        <f t="shared" si="23"/>
        <v>95.151196536467026</v>
      </c>
      <c r="I319" s="242" t="s">
        <v>527</v>
      </c>
      <c r="J319" s="51">
        <v>8203766</v>
      </c>
      <c r="K319" s="67" t="s">
        <v>23</v>
      </c>
      <c r="L319" s="47" t="s">
        <v>32</v>
      </c>
      <c r="M319" s="478">
        <v>5</v>
      </c>
      <c r="N319" s="478" t="s">
        <v>33</v>
      </c>
      <c r="O319" s="52" t="s">
        <v>34</v>
      </c>
      <c r="P319" s="51">
        <f>SUM(J319*M319)</f>
        <v>41018830</v>
      </c>
      <c r="Q319" s="49" t="s">
        <v>23</v>
      </c>
      <c r="R319" s="393"/>
    </row>
    <row r="320" spans="1:18" ht="17.45" customHeight="1">
      <c r="A320" s="227"/>
      <c r="B320" s="43"/>
      <c r="C320" s="392" t="s">
        <v>530</v>
      </c>
      <c r="D320" s="500">
        <v>122780</v>
      </c>
      <c r="E320" s="500">
        <f t="shared" si="21"/>
        <v>115280.47</v>
      </c>
      <c r="F320" s="389"/>
      <c r="G320" s="502">
        <f>+E320-D320</f>
        <v>-7499.5299999999988</v>
      </c>
      <c r="H320" s="503">
        <f t="shared" si="23"/>
        <v>-6.1081039257208003</v>
      </c>
      <c r="I320" s="242" t="s">
        <v>527</v>
      </c>
      <c r="J320" s="51">
        <v>23056094</v>
      </c>
      <c r="K320" s="67" t="s">
        <v>23</v>
      </c>
      <c r="L320" s="47" t="s">
        <v>32</v>
      </c>
      <c r="M320" s="478">
        <v>5</v>
      </c>
      <c r="N320" s="478" t="s">
        <v>33</v>
      </c>
      <c r="O320" s="52" t="s">
        <v>34</v>
      </c>
      <c r="P320" s="51">
        <f t="shared" si="20"/>
        <v>115280470</v>
      </c>
      <c r="Q320" s="49" t="s">
        <v>23</v>
      </c>
    </row>
    <row r="321" spans="1:18" ht="17.45" customHeight="1">
      <c r="A321" s="227"/>
      <c r="B321" s="43"/>
      <c r="C321" s="388" t="s">
        <v>531</v>
      </c>
      <c r="D321" s="500">
        <v>34000</v>
      </c>
      <c r="E321" s="500">
        <f t="shared" si="21"/>
        <v>34000</v>
      </c>
      <c r="F321" s="389"/>
      <c r="G321" s="502">
        <f t="shared" si="24"/>
        <v>0</v>
      </c>
      <c r="H321" s="503">
        <f t="shared" si="23"/>
        <v>0</v>
      </c>
      <c r="I321" s="242" t="s">
        <v>525</v>
      </c>
      <c r="J321" s="51">
        <v>6800000</v>
      </c>
      <c r="K321" s="67" t="s">
        <v>23</v>
      </c>
      <c r="L321" s="47" t="s">
        <v>32</v>
      </c>
      <c r="M321" s="478">
        <v>5</v>
      </c>
      <c r="N321" s="478" t="s">
        <v>33</v>
      </c>
      <c r="O321" s="52" t="s">
        <v>34</v>
      </c>
      <c r="P321" s="51">
        <f t="shared" si="20"/>
        <v>34000000</v>
      </c>
      <c r="Q321" s="49" t="s">
        <v>23</v>
      </c>
    </row>
    <row r="322" spans="1:18" ht="17.45" customHeight="1">
      <c r="A322" s="227"/>
      <c r="B322" s="43"/>
      <c r="C322" s="388" t="s">
        <v>532</v>
      </c>
      <c r="D322" s="500">
        <v>61500</v>
      </c>
      <c r="E322" s="500">
        <f t="shared" si="21"/>
        <v>61500</v>
      </c>
      <c r="F322" s="389"/>
      <c r="G322" s="502">
        <f t="shared" si="24"/>
        <v>0</v>
      </c>
      <c r="H322" s="503">
        <f t="shared" si="23"/>
        <v>0</v>
      </c>
      <c r="I322" s="242" t="s">
        <v>523</v>
      </c>
      <c r="J322" s="51">
        <v>15375000</v>
      </c>
      <c r="K322" s="67" t="s">
        <v>23</v>
      </c>
      <c r="L322" s="47" t="s">
        <v>32</v>
      </c>
      <c r="M322" s="478">
        <v>4</v>
      </c>
      <c r="N322" s="478" t="s">
        <v>33</v>
      </c>
      <c r="O322" s="52" t="s">
        <v>34</v>
      </c>
      <c r="P322" s="51">
        <f t="shared" si="20"/>
        <v>61500000</v>
      </c>
      <c r="Q322" s="49" t="s">
        <v>23</v>
      </c>
    </row>
    <row r="323" spans="1:18" ht="17.45" customHeight="1">
      <c r="A323" s="227"/>
      <c r="B323" s="43"/>
      <c r="C323" s="388" t="s">
        <v>533</v>
      </c>
      <c r="D323" s="500">
        <v>83519</v>
      </c>
      <c r="E323" s="500">
        <f t="shared" si="21"/>
        <v>83518.83</v>
      </c>
      <c r="F323" s="389"/>
      <c r="G323" s="502">
        <f t="shared" si="24"/>
        <v>-0.16999999999825377</v>
      </c>
      <c r="H323" s="503">
        <f t="shared" si="23"/>
        <v>-2.0354649839947052E-4</v>
      </c>
      <c r="I323" s="242" t="s">
        <v>527</v>
      </c>
      <c r="J323" s="51">
        <v>16703766</v>
      </c>
      <c r="K323" s="67" t="s">
        <v>74</v>
      </c>
      <c r="L323" s="47" t="s">
        <v>32</v>
      </c>
      <c r="M323" s="478">
        <v>5</v>
      </c>
      <c r="N323" s="478" t="s">
        <v>144</v>
      </c>
      <c r="O323" s="52" t="s">
        <v>73</v>
      </c>
      <c r="P323" s="51">
        <f t="shared" si="20"/>
        <v>83518830</v>
      </c>
      <c r="Q323" s="49" t="s">
        <v>74</v>
      </c>
    </row>
    <row r="324" spans="1:18" ht="17.45" customHeight="1">
      <c r="A324" s="227"/>
      <c r="B324" s="43"/>
      <c r="C324" s="388" t="s">
        <v>534</v>
      </c>
      <c r="D324" s="500">
        <v>200000</v>
      </c>
      <c r="E324" s="500">
        <f t="shared" si="21"/>
        <v>200240</v>
      </c>
      <c r="F324" s="389"/>
      <c r="G324" s="502">
        <f t="shared" si="24"/>
        <v>240</v>
      </c>
      <c r="H324" s="503">
        <f t="shared" si="23"/>
        <v>0.12</v>
      </c>
      <c r="I324" s="242" t="s">
        <v>514</v>
      </c>
      <c r="J324" s="51">
        <v>50060000</v>
      </c>
      <c r="K324" s="67" t="s">
        <v>23</v>
      </c>
      <c r="L324" s="47" t="s">
        <v>32</v>
      </c>
      <c r="M324" s="478">
        <v>4</v>
      </c>
      <c r="N324" s="478" t="s">
        <v>33</v>
      </c>
      <c r="O324" s="52" t="s">
        <v>34</v>
      </c>
      <c r="P324" s="51">
        <f t="shared" si="20"/>
        <v>200240000</v>
      </c>
      <c r="Q324" s="49" t="s">
        <v>23</v>
      </c>
    </row>
    <row r="325" spans="1:18" ht="17.45" customHeight="1">
      <c r="A325" s="227"/>
      <c r="B325" s="43"/>
      <c r="C325" s="388" t="s">
        <v>535</v>
      </c>
      <c r="D325" s="500">
        <v>68810</v>
      </c>
      <c r="E325" s="500">
        <f t="shared" si="21"/>
        <v>69049.52</v>
      </c>
      <c r="F325" s="389"/>
      <c r="G325" s="502">
        <f t="shared" si="24"/>
        <v>239.52000000000407</v>
      </c>
      <c r="H325" s="503">
        <f t="shared" si="23"/>
        <v>0.34808894056097089</v>
      </c>
      <c r="I325" s="279" t="s">
        <v>536</v>
      </c>
      <c r="J325" s="51">
        <v>13809904</v>
      </c>
      <c r="K325" s="67" t="s">
        <v>14</v>
      </c>
      <c r="L325" s="47" t="s">
        <v>537</v>
      </c>
      <c r="M325" s="478">
        <v>5</v>
      </c>
      <c r="N325" s="478" t="s">
        <v>42</v>
      </c>
      <c r="O325" s="52" t="s">
        <v>27</v>
      </c>
      <c r="P325" s="51">
        <f>J325*M325</f>
        <v>69049520</v>
      </c>
      <c r="Q325" s="49" t="s">
        <v>74</v>
      </c>
    </row>
    <row r="326" spans="1:18" ht="17.45" customHeight="1">
      <c r="A326" s="227"/>
      <c r="B326" s="43"/>
      <c r="C326" s="388" t="s">
        <v>538</v>
      </c>
      <c r="D326" s="500">
        <v>17921</v>
      </c>
      <c r="E326" s="500">
        <f t="shared" si="21"/>
        <v>18041.47</v>
      </c>
      <c r="F326" s="389"/>
      <c r="G326" s="502">
        <f t="shared" si="24"/>
        <v>120.47000000000116</v>
      </c>
      <c r="H326" s="503">
        <f t="shared" si="23"/>
        <v>0.67222811227052715</v>
      </c>
      <c r="I326" s="279" t="s">
        <v>536</v>
      </c>
      <c r="J326" s="51">
        <v>3608294</v>
      </c>
      <c r="K326" s="67" t="s">
        <v>23</v>
      </c>
      <c r="L326" s="47" t="s">
        <v>32</v>
      </c>
      <c r="M326" s="478">
        <v>5</v>
      </c>
      <c r="N326" s="478" t="s">
        <v>33</v>
      </c>
      <c r="O326" s="52" t="s">
        <v>34</v>
      </c>
      <c r="P326" s="51">
        <f>J326*M326</f>
        <v>18041470</v>
      </c>
      <c r="Q326" s="49" t="s">
        <v>23</v>
      </c>
    </row>
    <row r="327" spans="1:18" ht="17.45" customHeight="1">
      <c r="A327" s="227"/>
      <c r="B327" s="43"/>
      <c r="C327" s="394" t="s">
        <v>539</v>
      </c>
      <c r="D327" s="500">
        <v>50488</v>
      </c>
      <c r="E327" s="500">
        <f t="shared" si="21"/>
        <v>50487.7</v>
      </c>
      <c r="F327" s="389"/>
      <c r="G327" s="502">
        <f t="shared" si="24"/>
        <v>-0.30000000000291038</v>
      </c>
      <c r="H327" s="503">
        <f t="shared" si="23"/>
        <v>-5.9420060212904131E-4</v>
      </c>
      <c r="I327" s="242" t="s">
        <v>527</v>
      </c>
      <c r="J327" s="51">
        <v>10097540</v>
      </c>
      <c r="K327" s="67" t="s">
        <v>23</v>
      </c>
      <c r="L327" s="47" t="s">
        <v>32</v>
      </c>
      <c r="M327" s="478">
        <v>5</v>
      </c>
      <c r="N327" s="478" t="s">
        <v>33</v>
      </c>
      <c r="O327" s="52" t="s">
        <v>34</v>
      </c>
      <c r="P327" s="51">
        <f>SUM(J327*M327)</f>
        <v>50487700</v>
      </c>
      <c r="Q327" s="49" t="s">
        <v>23</v>
      </c>
    </row>
    <row r="328" spans="1:18" ht="17.45" customHeight="1">
      <c r="A328" s="227"/>
      <c r="B328" s="43"/>
      <c r="C328" s="388" t="s">
        <v>540</v>
      </c>
      <c r="D328" s="500">
        <v>15000</v>
      </c>
      <c r="E328" s="500">
        <f t="shared" si="21"/>
        <v>15120</v>
      </c>
      <c r="F328" s="389"/>
      <c r="G328" s="502">
        <f t="shared" si="24"/>
        <v>120</v>
      </c>
      <c r="H328" s="503">
        <f t="shared" si="23"/>
        <v>0.8</v>
      </c>
      <c r="I328" s="242" t="s">
        <v>514</v>
      </c>
      <c r="J328" s="51">
        <v>3780000</v>
      </c>
      <c r="K328" s="67" t="s">
        <v>23</v>
      </c>
      <c r="L328" s="47" t="s">
        <v>32</v>
      </c>
      <c r="M328" s="478">
        <v>4</v>
      </c>
      <c r="N328" s="478" t="s">
        <v>33</v>
      </c>
      <c r="O328" s="52" t="s">
        <v>34</v>
      </c>
      <c r="P328" s="51">
        <f>SUM(J328*M328)</f>
        <v>15120000</v>
      </c>
      <c r="Q328" s="49" t="s">
        <v>23</v>
      </c>
    </row>
    <row r="329" spans="1:18" ht="17.45" customHeight="1">
      <c r="A329" s="227"/>
      <c r="B329" s="43"/>
      <c r="C329" s="388" t="s">
        <v>541</v>
      </c>
      <c r="D329" s="500">
        <v>10000</v>
      </c>
      <c r="E329" s="500">
        <f t="shared" si="21"/>
        <v>10000</v>
      </c>
      <c r="F329" s="389"/>
      <c r="G329" s="502">
        <f t="shared" si="24"/>
        <v>0</v>
      </c>
      <c r="H329" s="503">
        <f t="shared" si="23"/>
        <v>0</v>
      </c>
      <c r="I329" s="242" t="s">
        <v>523</v>
      </c>
      <c r="J329" s="51">
        <v>2500000</v>
      </c>
      <c r="K329" s="67" t="s">
        <v>23</v>
      </c>
      <c r="L329" s="47" t="s">
        <v>32</v>
      </c>
      <c r="M329" s="478">
        <v>4</v>
      </c>
      <c r="N329" s="478" t="s">
        <v>33</v>
      </c>
      <c r="O329" s="52" t="s">
        <v>34</v>
      </c>
      <c r="P329" s="51">
        <f>SUM(J329*M329)</f>
        <v>10000000</v>
      </c>
      <c r="Q329" s="49" t="s">
        <v>23</v>
      </c>
    </row>
    <row r="330" spans="1:18" ht="17.45" customHeight="1">
      <c r="A330" s="227"/>
      <c r="B330" s="43"/>
      <c r="C330" s="392" t="s">
        <v>542</v>
      </c>
      <c r="D330" s="500">
        <v>5000</v>
      </c>
      <c r="E330" s="500">
        <f t="shared" si="21"/>
        <v>5000</v>
      </c>
      <c r="F330" s="389"/>
      <c r="G330" s="502">
        <f t="shared" si="24"/>
        <v>0</v>
      </c>
      <c r="H330" s="503">
        <f t="shared" si="23"/>
        <v>0</v>
      </c>
      <c r="I330" s="242" t="s">
        <v>523</v>
      </c>
      <c r="J330" s="51">
        <v>5000000</v>
      </c>
      <c r="K330" s="67" t="s">
        <v>74</v>
      </c>
      <c r="L330" s="47" t="s">
        <v>32</v>
      </c>
      <c r="M330" s="478">
        <v>1</v>
      </c>
      <c r="N330" s="478" t="s">
        <v>144</v>
      </c>
      <c r="O330" s="52" t="s">
        <v>73</v>
      </c>
      <c r="P330" s="51">
        <f>SUM(J330*M330)</f>
        <v>5000000</v>
      </c>
      <c r="Q330" s="49" t="s">
        <v>74</v>
      </c>
    </row>
    <row r="331" spans="1:18" ht="17.45" customHeight="1">
      <c r="A331" s="227"/>
      <c r="B331" s="43"/>
      <c r="C331" s="388" t="s">
        <v>543</v>
      </c>
      <c r="D331" s="500">
        <v>5000</v>
      </c>
      <c r="E331" s="500">
        <f t="shared" si="21"/>
        <v>5000</v>
      </c>
      <c r="F331" s="389"/>
      <c r="G331" s="502">
        <f t="shared" si="24"/>
        <v>0</v>
      </c>
      <c r="H331" s="503">
        <f t="shared" si="23"/>
        <v>0</v>
      </c>
      <c r="I331" s="242" t="s">
        <v>525</v>
      </c>
      <c r="J331" s="51">
        <v>1250000</v>
      </c>
      <c r="K331" s="67" t="s">
        <v>14</v>
      </c>
      <c r="L331" s="47" t="s">
        <v>537</v>
      </c>
      <c r="M331" s="478">
        <v>4</v>
      </c>
      <c r="N331" s="478" t="s">
        <v>42</v>
      </c>
      <c r="O331" s="52" t="s">
        <v>27</v>
      </c>
      <c r="P331" s="51">
        <f>J331*M331</f>
        <v>5000000</v>
      </c>
      <c r="Q331" s="49" t="s">
        <v>74</v>
      </c>
    </row>
    <row r="332" spans="1:18" ht="17.45" customHeight="1">
      <c r="A332" s="227"/>
      <c r="B332" s="43"/>
      <c r="C332" s="388" t="s">
        <v>544</v>
      </c>
      <c r="D332" s="500">
        <v>2400</v>
      </c>
      <c r="E332" s="500">
        <f t="shared" si="21"/>
        <v>5000</v>
      </c>
      <c r="F332" s="389"/>
      <c r="G332" s="502">
        <f t="shared" si="24"/>
        <v>2600</v>
      </c>
      <c r="H332" s="503">
        <f t="shared" si="23"/>
        <v>108.33333333333333</v>
      </c>
      <c r="I332" s="242" t="s">
        <v>523</v>
      </c>
      <c r="J332" s="51">
        <v>5000000</v>
      </c>
      <c r="K332" s="67" t="s">
        <v>74</v>
      </c>
      <c r="L332" s="47" t="s">
        <v>32</v>
      </c>
      <c r="M332" s="478">
        <v>1</v>
      </c>
      <c r="N332" s="478" t="s">
        <v>144</v>
      </c>
      <c r="O332" s="52" t="s">
        <v>73</v>
      </c>
      <c r="P332" s="51">
        <f t="shared" ref="P332:P383" si="25">SUM(J332*M332)</f>
        <v>5000000</v>
      </c>
      <c r="Q332" s="49" t="s">
        <v>74</v>
      </c>
      <c r="R332" s="395"/>
    </row>
    <row r="333" spans="1:18" ht="17.45" customHeight="1">
      <c r="A333" s="227"/>
      <c r="B333" s="43"/>
      <c r="C333" s="388" t="s">
        <v>545</v>
      </c>
      <c r="D333" s="500">
        <v>5000</v>
      </c>
      <c r="E333" s="500">
        <f t="shared" si="21"/>
        <v>5000</v>
      </c>
      <c r="F333" s="389"/>
      <c r="G333" s="502">
        <f t="shared" si="24"/>
        <v>0</v>
      </c>
      <c r="H333" s="503">
        <f t="shared" si="23"/>
        <v>0</v>
      </c>
      <c r="I333" s="242" t="s">
        <v>523</v>
      </c>
      <c r="J333" s="51">
        <v>5000000</v>
      </c>
      <c r="K333" s="67" t="s">
        <v>23</v>
      </c>
      <c r="L333" s="47" t="s">
        <v>32</v>
      </c>
      <c r="M333" s="478">
        <v>1</v>
      </c>
      <c r="N333" s="478" t="s">
        <v>33</v>
      </c>
      <c r="O333" s="52" t="s">
        <v>34</v>
      </c>
      <c r="P333" s="51">
        <f t="shared" si="25"/>
        <v>5000000</v>
      </c>
      <c r="Q333" s="49" t="s">
        <v>23</v>
      </c>
      <c r="R333" s="395"/>
    </row>
    <row r="334" spans="1:18" ht="17.45" customHeight="1">
      <c r="A334" s="227"/>
      <c r="B334" s="43"/>
      <c r="C334" s="388" t="s">
        <v>546</v>
      </c>
      <c r="D334" s="500">
        <v>2400</v>
      </c>
      <c r="E334" s="500">
        <f t="shared" si="21"/>
        <v>2400</v>
      </c>
      <c r="F334" s="389"/>
      <c r="G334" s="502">
        <f t="shared" si="24"/>
        <v>0</v>
      </c>
      <c r="H334" s="503">
        <f t="shared" si="23"/>
        <v>0</v>
      </c>
      <c r="I334" s="242" t="s">
        <v>523</v>
      </c>
      <c r="J334" s="51">
        <v>2400000</v>
      </c>
      <c r="K334" s="67" t="s">
        <v>23</v>
      </c>
      <c r="L334" s="47" t="s">
        <v>32</v>
      </c>
      <c r="M334" s="478">
        <v>1</v>
      </c>
      <c r="N334" s="478" t="s">
        <v>33</v>
      </c>
      <c r="O334" s="52" t="s">
        <v>34</v>
      </c>
      <c r="P334" s="51">
        <f t="shared" si="25"/>
        <v>2400000</v>
      </c>
      <c r="Q334" s="49" t="s">
        <v>23</v>
      </c>
      <c r="R334" s="395"/>
    </row>
    <row r="335" spans="1:18" ht="17.45" customHeight="1">
      <c r="A335" s="227"/>
      <c r="B335" s="43"/>
      <c r="C335" s="388" t="s">
        <v>547</v>
      </c>
      <c r="D335" s="500">
        <v>5000</v>
      </c>
      <c r="E335" s="500">
        <f t="shared" si="21"/>
        <v>5000</v>
      </c>
      <c r="F335" s="389"/>
      <c r="G335" s="502">
        <f t="shared" si="24"/>
        <v>0</v>
      </c>
      <c r="H335" s="503">
        <f t="shared" si="23"/>
        <v>0</v>
      </c>
      <c r="I335" s="242" t="s">
        <v>523</v>
      </c>
      <c r="J335" s="51">
        <v>5000000</v>
      </c>
      <c r="K335" s="67" t="s">
        <v>23</v>
      </c>
      <c r="L335" s="47" t="s">
        <v>32</v>
      </c>
      <c r="M335" s="478">
        <v>1</v>
      </c>
      <c r="N335" s="478" t="s">
        <v>33</v>
      </c>
      <c r="O335" s="52" t="s">
        <v>34</v>
      </c>
      <c r="P335" s="51">
        <f t="shared" si="25"/>
        <v>5000000</v>
      </c>
      <c r="Q335" s="49" t="s">
        <v>23</v>
      </c>
      <c r="R335" s="395"/>
    </row>
    <row r="336" spans="1:18" ht="17.45" customHeight="1">
      <c r="A336" s="227"/>
      <c r="B336" s="43"/>
      <c r="C336" s="388" t="s">
        <v>548</v>
      </c>
      <c r="D336" s="500">
        <v>2200</v>
      </c>
      <c r="E336" s="500">
        <f t="shared" si="21"/>
        <v>2200</v>
      </c>
      <c r="F336" s="389"/>
      <c r="G336" s="502">
        <f t="shared" si="24"/>
        <v>0</v>
      </c>
      <c r="H336" s="503">
        <f t="shared" si="23"/>
        <v>0</v>
      </c>
      <c r="I336" s="242" t="s">
        <v>523</v>
      </c>
      <c r="J336" s="51">
        <v>2200000</v>
      </c>
      <c r="K336" s="67" t="s">
        <v>74</v>
      </c>
      <c r="L336" s="47" t="s">
        <v>32</v>
      </c>
      <c r="M336" s="478">
        <v>1</v>
      </c>
      <c r="N336" s="478" t="s">
        <v>144</v>
      </c>
      <c r="O336" s="52" t="s">
        <v>73</v>
      </c>
      <c r="P336" s="51">
        <f t="shared" si="25"/>
        <v>2200000</v>
      </c>
      <c r="Q336" s="49" t="s">
        <v>74</v>
      </c>
      <c r="R336" s="395"/>
    </row>
    <row r="337" spans="1:18" ht="17.45" customHeight="1">
      <c r="A337" s="227"/>
      <c r="B337" s="43"/>
      <c r="C337" s="396" t="s">
        <v>549</v>
      </c>
      <c r="D337" s="500">
        <v>81000</v>
      </c>
      <c r="E337" s="500">
        <f t="shared" si="21"/>
        <v>78000</v>
      </c>
      <c r="F337" s="389"/>
      <c r="G337" s="502">
        <f t="shared" si="24"/>
        <v>-3000</v>
      </c>
      <c r="H337" s="503">
        <f t="shared" si="23"/>
        <v>-3.7037037037037033</v>
      </c>
      <c r="I337" s="242" t="s">
        <v>523</v>
      </c>
      <c r="J337" s="51">
        <v>6500000</v>
      </c>
      <c r="K337" s="67" t="s">
        <v>23</v>
      </c>
      <c r="L337" s="47" t="s">
        <v>32</v>
      </c>
      <c r="M337" s="478">
        <v>12</v>
      </c>
      <c r="N337" s="478" t="s">
        <v>33</v>
      </c>
      <c r="O337" s="52" t="s">
        <v>34</v>
      </c>
      <c r="P337" s="51">
        <f t="shared" si="25"/>
        <v>78000000</v>
      </c>
      <c r="Q337" s="49" t="s">
        <v>23</v>
      </c>
      <c r="R337" s="395"/>
    </row>
    <row r="338" spans="1:18" ht="17.45" customHeight="1">
      <c r="A338" s="227"/>
      <c r="B338" s="43"/>
      <c r="C338" s="388" t="s">
        <v>550</v>
      </c>
      <c r="D338" s="500">
        <v>3300</v>
      </c>
      <c r="E338" s="500">
        <f t="shared" si="21"/>
        <v>3300</v>
      </c>
      <c r="F338" s="389"/>
      <c r="G338" s="502">
        <f t="shared" si="24"/>
        <v>0</v>
      </c>
      <c r="H338" s="503">
        <f t="shared" si="23"/>
        <v>0</v>
      </c>
      <c r="I338" s="242" t="s">
        <v>523</v>
      </c>
      <c r="J338" s="51">
        <v>3300000</v>
      </c>
      <c r="K338" s="67" t="s">
        <v>74</v>
      </c>
      <c r="L338" s="47" t="s">
        <v>32</v>
      </c>
      <c r="M338" s="478">
        <v>1</v>
      </c>
      <c r="N338" s="478" t="s">
        <v>144</v>
      </c>
      <c r="O338" s="52" t="s">
        <v>73</v>
      </c>
      <c r="P338" s="51">
        <f t="shared" si="25"/>
        <v>3300000</v>
      </c>
      <c r="Q338" s="49" t="s">
        <v>74</v>
      </c>
      <c r="R338" s="395"/>
    </row>
    <row r="339" spans="1:18" ht="17.45" customHeight="1">
      <c r="A339" s="227"/>
      <c r="B339" s="43"/>
      <c r="C339" s="388" t="s">
        <v>551</v>
      </c>
      <c r="D339" s="500">
        <v>5000</v>
      </c>
      <c r="E339" s="500">
        <f t="shared" si="21"/>
        <v>5000</v>
      </c>
      <c r="F339" s="500" t="e">
        <f>Q339/1000</f>
        <v>#VALUE!</v>
      </c>
      <c r="G339" s="502">
        <f t="shared" si="24"/>
        <v>0</v>
      </c>
      <c r="H339" s="503">
        <f t="shared" si="23"/>
        <v>0</v>
      </c>
      <c r="I339" s="242" t="s">
        <v>523</v>
      </c>
      <c r="J339" s="51">
        <v>5000000</v>
      </c>
      <c r="K339" s="67" t="s">
        <v>74</v>
      </c>
      <c r="L339" s="47" t="s">
        <v>32</v>
      </c>
      <c r="M339" s="478">
        <v>1</v>
      </c>
      <c r="N339" s="478" t="s">
        <v>144</v>
      </c>
      <c r="O339" s="52" t="s">
        <v>73</v>
      </c>
      <c r="P339" s="51">
        <f t="shared" si="25"/>
        <v>5000000</v>
      </c>
      <c r="Q339" s="49" t="s">
        <v>74</v>
      </c>
      <c r="R339" s="395"/>
    </row>
    <row r="340" spans="1:18" ht="17.45" customHeight="1">
      <c r="A340" s="227"/>
      <c r="B340" s="43"/>
      <c r="C340" s="388" t="s">
        <v>552</v>
      </c>
      <c r="D340" s="500">
        <v>4800</v>
      </c>
      <c r="E340" s="500">
        <f t="shared" si="21"/>
        <v>4800</v>
      </c>
      <c r="F340" s="389"/>
      <c r="G340" s="502">
        <f t="shared" si="24"/>
        <v>0</v>
      </c>
      <c r="H340" s="503">
        <f t="shared" si="23"/>
        <v>0</v>
      </c>
      <c r="I340" s="242" t="s">
        <v>523</v>
      </c>
      <c r="J340" s="51">
        <v>4800000</v>
      </c>
      <c r="K340" s="67" t="s">
        <v>74</v>
      </c>
      <c r="L340" s="47" t="s">
        <v>32</v>
      </c>
      <c r="M340" s="478">
        <v>1</v>
      </c>
      <c r="N340" s="478" t="s">
        <v>144</v>
      </c>
      <c r="O340" s="52" t="s">
        <v>73</v>
      </c>
      <c r="P340" s="51">
        <f t="shared" si="25"/>
        <v>4800000</v>
      </c>
      <c r="Q340" s="49" t="s">
        <v>74</v>
      </c>
      <c r="R340" s="395"/>
    </row>
    <row r="341" spans="1:18" ht="17.45" customHeight="1">
      <c r="A341" s="227"/>
      <c r="B341" s="43"/>
      <c r="C341" s="396" t="s">
        <v>553</v>
      </c>
      <c r="D341" s="500">
        <v>3000</v>
      </c>
      <c r="E341" s="500">
        <f t="shared" si="21"/>
        <v>3000</v>
      </c>
      <c r="F341" s="389"/>
      <c r="G341" s="502">
        <f t="shared" si="24"/>
        <v>0</v>
      </c>
      <c r="H341" s="503">
        <f t="shared" si="23"/>
        <v>0</v>
      </c>
      <c r="I341" s="242" t="s">
        <v>523</v>
      </c>
      <c r="J341" s="51">
        <v>3000000</v>
      </c>
      <c r="K341" s="67" t="s">
        <v>23</v>
      </c>
      <c r="L341" s="47" t="s">
        <v>32</v>
      </c>
      <c r="M341" s="478">
        <v>1</v>
      </c>
      <c r="N341" s="478" t="s">
        <v>33</v>
      </c>
      <c r="O341" s="52" t="s">
        <v>34</v>
      </c>
      <c r="P341" s="51">
        <f t="shared" si="25"/>
        <v>3000000</v>
      </c>
      <c r="Q341" s="49" t="s">
        <v>23</v>
      </c>
    </row>
    <row r="342" spans="1:18" ht="17.45" customHeight="1">
      <c r="A342" s="227"/>
      <c r="B342" s="43"/>
      <c r="C342" s="392" t="s">
        <v>554</v>
      </c>
      <c r="D342" s="500">
        <v>3000</v>
      </c>
      <c r="E342" s="500">
        <f t="shared" si="21"/>
        <v>3000</v>
      </c>
      <c r="F342" s="389"/>
      <c r="G342" s="502">
        <f>+E342-D342</f>
        <v>0</v>
      </c>
      <c r="H342" s="503">
        <f>+G342/D342*100</f>
        <v>0</v>
      </c>
      <c r="I342" s="242" t="s">
        <v>523</v>
      </c>
      <c r="J342" s="51">
        <v>3000000</v>
      </c>
      <c r="K342" s="67" t="s">
        <v>23</v>
      </c>
      <c r="L342" s="47" t="s">
        <v>32</v>
      </c>
      <c r="M342" s="478">
        <v>1</v>
      </c>
      <c r="N342" s="478" t="s">
        <v>33</v>
      </c>
      <c r="O342" s="52" t="s">
        <v>34</v>
      </c>
      <c r="P342" s="51">
        <f>SUM(J342*M342)</f>
        <v>3000000</v>
      </c>
      <c r="Q342" s="49" t="s">
        <v>23</v>
      </c>
    </row>
    <row r="343" spans="1:18" ht="17.45" customHeight="1">
      <c r="A343" s="227"/>
      <c r="B343" s="43"/>
      <c r="C343" s="392" t="s">
        <v>555</v>
      </c>
      <c r="D343" s="500">
        <v>3000</v>
      </c>
      <c r="E343" s="500">
        <f t="shared" si="21"/>
        <v>3000</v>
      </c>
      <c r="F343" s="389"/>
      <c r="G343" s="502">
        <f>+E343-D343</f>
        <v>0</v>
      </c>
      <c r="H343" s="503">
        <f>+G343/D343*100</f>
        <v>0</v>
      </c>
      <c r="I343" s="242" t="s">
        <v>523</v>
      </c>
      <c r="J343" s="51">
        <v>3000000</v>
      </c>
      <c r="K343" s="67" t="s">
        <v>23</v>
      </c>
      <c r="L343" s="47" t="s">
        <v>32</v>
      </c>
      <c r="M343" s="478">
        <v>1</v>
      </c>
      <c r="N343" s="478" t="s">
        <v>33</v>
      </c>
      <c r="O343" s="52" t="s">
        <v>34</v>
      </c>
      <c r="P343" s="51">
        <f>SUM(J343*M343)</f>
        <v>3000000</v>
      </c>
      <c r="Q343" s="49" t="s">
        <v>23</v>
      </c>
    </row>
    <row r="344" spans="1:18" ht="17.45" customHeight="1">
      <c r="A344" s="227"/>
      <c r="B344" s="43"/>
      <c r="C344" s="390" t="s">
        <v>556</v>
      </c>
      <c r="D344" s="500">
        <v>3600</v>
      </c>
      <c r="E344" s="500">
        <f t="shared" si="21"/>
        <v>3600</v>
      </c>
      <c r="F344" s="389"/>
      <c r="G344" s="502">
        <f t="shared" si="24"/>
        <v>0</v>
      </c>
      <c r="H344" s="503">
        <f t="shared" si="23"/>
        <v>0</v>
      </c>
      <c r="I344" s="242" t="s">
        <v>523</v>
      </c>
      <c r="J344" s="51">
        <v>3600000</v>
      </c>
      <c r="K344" s="67" t="s">
        <v>74</v>
      </c>
      <c r="L344" s="47" t="s">
        <v>32</v>
      </c>
      <c r="M344" s="478">
        <v>1</v>
      </c>
      <c r="N344" s="478" t="s">
        <v>144</v>
      </c>
      <c r="O344" s="52" t="s">
        <v>73</v>
      </c>
      <c r="P344" s="51">
        <f t="shared" si="25"/>
        <v>3600000</v>
      </c>
      <c r="Q344" s="49" t="s">
        <v>74</v>
      </c>
    </row>
    <row r="345" spans="1:18" ht="17.45" customHeight="1">
      <c r="A345" s="227"/>
      <c r="B345" s="43"/>
      <c r="C345" s="388" t="s">
        <v>557</v>
      </c>
      <c r="D345" s="500">
        <v>5000</v>
      </c>
      <c r="E345" s="500">
        <f t="shared" si="21"/>
        <v>5000</v>
      </c>
      <c r="F345" s="389"/>
      <c r="G345" s="502">
        <f t="shared" si="24"/>
        <v>0</v>
      </c>
      <c r="H345" s="503">
        <f t="shared" si="23"/>
        <v>0</v>
      </c>
      <c r="I345" s="242" t="s">
        <v>523</v>
      </c>
      <c r="J345" s="51">
        <v>1250000</v>
      </c>
      <c r="K345" s="67" t="s">
        <v>23</v>
      </c>
      <c r="L345" s="47" t="s">
        <v>32</v>
      </c>
      <c r="M345" s="478">
        <v>4</v>
      </c>
      <c r="N345" s="478" t="s">
        <v>33</v>
      </c>
      <c r="O345" s="52" t="s">
        <v>34</v>
      </c>
      <c r="P345" s="51">
        <f t="shared" si="25"/>
        <v>5000000</v>
      </c>
      <c r="Q345" s="49" t="s">
        <v>23</v>
      </c>
    </row>
    <row r="346" spans="1:18" ht="17.45" customHeight="1">
      <c r="A346" s="227"/>
      <c r="B346" s="43"/>
      <c r="C346" s="392" t="s">
        <v>558</v>
      </c>
      <c r="D346" s="500">
        <v>3000</v>
      </c>
      <c r="E346" s="500">
        <f t="shared" si="21"/>
        <v>3000</v>
      </c>
      <c r="F346" s="389"/>
      <c r="G346" s="502">
        <f t="shared" si="24"/>
        <v>0</v>
      </c>
      <c r="H346" s="503">
        <f t="shared" si="23"/>
        <v>0</v>
      </c>
      <c r="I346" s="242" t="s">
        <v>523</v>
      </c>
      <c r="J346" s="51">
        <v>3000000</v>
      </c>
      <c r="K346" s="67" t="s">
        <v>23</v>
      </c>
      <c r="L346" s="47" t="s">
        <v>32</v>
      </c>
      <c r="M346" s="478">
        <v>1</v>
      </c>
      <c r="N346" s="478" t="s">
        <v>33</v>
      </c>
      <c r="O346" s="52" t="s">
        <v>34</v>
      </c>
      <c r="P346" s="51">
        <f t="shared" si="25"/>
        <v>3000000</v>
      </c>
      <c r="Q346" s="49" t="s">
        <v>23</v>
      </c>
    </row>
    <row r="347" spans="1:18" ht="17.45" customHeight="1">
      <c r="A347" s="227"/>
      <c r="B347" s="43"/>
      <c r="C347" s="390" t="s">
        <v>559</v>
      </c>
      <c r="D347" s="500">
        <v>3600</v>
      </c>
      <c r="E347" s="500">
        <f t="shared" si="21"/>
        <v>3600</v>
      </c>
      <c r="F347" s="389"/>
      <c r="G347" s="502">
        <f t="shared" si="24"/>
        <v>0</v>
      </c>
      <c r="H347" s="503">
        <f t="shared" si="23"/>
        <v>0</v>
      </c>
      <c r="I347" s="242" t="s">
        <v>523</v>
      </c>
      <c r="J347" s="51">
        <v>3600000</v>
      </c>
      <c r="K347" s="67" t="s">
        <v>23</v>
      </c>
      <c r="L347" s="47" t="s">
        <v>32</v>
      </c>
      <c r="M347" s="478">
        <v>1</v>
      </c>
      <c r="N347" s="478" t="s">
        <v>33</v>
      </c>
      <c r="O347" s="52" t="s">
        <v>34</v>
      </c>
      <c r="P347" s="51">
        <f t="shared" si="25"/>
        <v>3600000</v>
      </c>
      <c r="Q347" s="49" t="s">
        <v>23</v>
      </c>
    </row>
    <row r="348" spans="1:18" ht="17.45" customHeight="1">
      <c r="A348" s="227"/>
      <c r="B348" s="43"/>
      <c r="C348" s="388" t="s">
        <v>560</v>
      </c>
      <c r="D348" s="500">
        <v>2700</v>
      </c>
      <c r="E348" s="500">
        <f t="shared" si="21"/>
        <v>2700</v>
      </c>
      <c r="F348" s="389"/>
      <c r="G348" s="502">
        <f t="shared" si="24"/>
        <v>0</v>
      </c>
      <c r="H348" s="503">
        <f t="shared" si="23"/>
        <v>0</v>
      </c>
      <c r="I348" s="242" t="s">
        <v>523</v>
      </c>
      <c r="J348" s="51">
        <v>2700000</v>
      </c>
      <c r="K348" s="67" t="s">
        <v>23</v>
      </c>
      <c r="L348" s="47" t="s">
        <v>32</v>
      </c>
      <c r="M348" s="478">
        <v>1</v>
      </c>
      <c r="N348" s="478" t="s">
        <v>33</v>
      </c>
      <c r="O348" s="52" t="s">
        <v>34</v>
      </c>
      <c r="P348" s="51">
        <f t="shared" si="25"/>
        <v>2700000</v>
      </c>
      <c r="Q348" s="49" t="s">
        <v>23</v>
      </c>
    </row>
    <row r="349" spans="1:18" ht="17.45" customHeight="1">
      <c r="A349" s="227"/>
      <c r="B349" s="43"/>
      <c r="C349" s="388" t="s">
        <v>561</v>
      </c>
      <c r="D349" s="500">
        <v>2700</v>
      </c>
      <c r="E349" s="500">
        <f t="shared" si="21"/>
        <v>2700</v>
      </c>
      <c r="F349" s="389"/>
      <c r="G349" s="502">
        <f t="shared" si="24"/>
        <v>0</v>
      </c>
      <c r="H349" s="503">
        <f t="shared" si="23"/>
        <v>0</v>
      </c>
      <c r="I349" s="242" t="s">
        <v>523</v>
      </c>
      <c r="J349" s="51">
        <v>2700000</v>
      </c>
      <c r="K349" s="67" t="s">
        <v>23</v>
      </c>
      <c r="L349" s="47" t="s">
        <v>32</v>
      </c>
      <c r="M349" s="478">
        <v>1</v>
      </c>
      <c r="N349" s="478" t="s">
        <v>33</v>
      </c>
      <c r="O349" s="52" t="s">
        <v>34</v>
      </c>
      <c r="P349" s="51">
        <f t="shared" si="25"/>
        <v>2700000</v>
      </c>
      <c r="Q349" s="49" t="s">
        <v>23</v>
      </c>
    </row>
    <row r="350" spans="1:18" ht="17.45" customHeight="1">
      <c r="A350" s="227"/>
      <c r="B350" s="43"/>
      <c r="C350" s="388" t="s">
        <v>562</v>
      </c>
      <c r="D350" s="500">
        <v>3000</v>
      </c>
      <c r="E350" s="500">
        <v>3000</v>
      </c>
      <c r="F350" s="389"/>
      <c r="G350" s="502">
        <f t="shared" si="24"/>
        <v>0</v>
      </c>
      <c r="H350" s="503">
        <v>0</v>
      </c>
      <c r="I350" s="242" t="s">
        <v>523</v>
      </c>
      <c r="J350" s="51">
        <v>3000000</v>
      </c>
      <c r="K350" s="67" t="s">
        <v>23</v>
      </c>
      <c r="L350" s="47" t="s">
        <v>32</v>
      </c>
      <c r="M350" s="478">
        <v>1</v>
      </c>
      <c r="N350" s="478" t="s">
        <v>33</v>
      </c>
      <c r="O350" s="52" t="s">
        <v>34</v>
      </c>
      <c r="P350" s="51">
        <f t="shared" si="25"/>
        <v>3000000</v>
      </c>
      <c r="Q350" s="49" t="s">
        <v>23</v>
      </c>
    </row>
    <row r="351" spans="1:18" ht="17.45" customHeight="1">
      <c r="A351" s="227"/>
      <c r="B351" s="43"/>
      <c r="C351" s="388" t="s">
        <v>563</v>
      </c>
      <c r="D351" s="500">
        <v>2400</v>
      </c>
      <c r="E351" s="500">
        <f>P351/1000</f>
        <v>2400</v>
      </c>
      <c r="F351" s="389"/>
      <c r="G351" s="502">
        <f t="shared" si="24"/>
        <v>0</v>
      </c>
      <c r="H351" s="503">
        <f>+G351/D351*100</f>
        <v>0</v>
      </c>
      <c r="I351" s="242" t="s">
        <v>523</v>
      </c>
      <c r="J351" s="51">
        <v>2400000</v>
      </c>
      <c r="K351" s="67" t="s">
        <v>74</v>
      </c>
      <c r="L351" s="47" t="s">
        <v>32</v>
      </c>
      <c r="M351" s="478">
        <v>1</v>
      </c>
      <c r="N351" s="478" t="s">
        <v>144</v>
      </c>
      <c r="O351" s="52" t="s">
        <v>73</v>
      </c>
      <c r="P351" s="51">
        <f t="shared" si="25"/>
        <v>2400000</v>
      </c>
      <c r="Q351" s="49" t="s">
        <v>74</v>
      </c>
    </row>
    <row r="352" spans="1:18" ht="17.45" customHeight="1">
      <c r="A352" s="282" t="s">
        <v>511</v>
      </c>
      <c r="B352" s="487" t="s">
        <v>512</v>
      </c>
      <c r="C352" s="390" t="s">
        <v>564</v>
      </c>
      <c r="D352" s="500">
        <v>4800</v>
      </c>
      <c r="E352" s="500">
        <f t="shared" si="21"/>
        <v>4800</v>
      </c>
      <c r="F352" s="389"/>
      <c r="G352" s="502">
        <f t="shared" si="24"/>
        <v>0</v>
      </c>
      <c r="H352" s="503">
        <f>+G352/D352*100</f>
        <v>0</v>
      </c>
      <c r="I352" s="242" t="s">
        <v>523</v>
      </c>
      <c r="J352" s="51">
        <v>4800000</v>
      </c>
      <c r="K352" s="67" t="s">
        <v>23</v>
      </c>
      <c r="L352" s="47" t="s">
        <v>32</v>
      </c>
      <c r="M352" s="478">
        <v>1</v>
      </c>
      <c r="N352" s="478" t="s">
        <v>33</v>
      </c>
      <c r="O352" s="52" t="s">
        <v>34</v>
      </c>
      <c r="P352" s="51">
        <f t="shared" si="25"/>
        <v>4800000</v>
      </c>
      <c r="Q352" s="49" t="s">
        <v>23</v>
      </c>
      <c r="R352" s="393"/>
    </row>
    <row r="353" spans="1:18" ht="17.45" customHeight="1">
      <c r="A353" s="227"/>
      <c r="B353" s="43"/>
      <c r="C353" s="390" t="s">
        <v>565</v>
      </c>
      <c r="D353" s="500">
        <v>0</v>
      </c>
      <c r="E353" s="500">
        <f t="shared" si="21"/>
        <v>10000</v>
      </c>
      <c r="F353" s="389"/>
      <c r="G353" s="502">
        <f t="shared" si="24"/>
        <v>10000</v>
      </c>
      <c r="H353" s="503" t="s">
        <v>71</v>
      </c>
      <c r="I353" s="242" t="s">
        <v>514</v>
      </c>
      <c r="J353" s="51">
        <v>5000000</v>
      </c>
      <c r="K353" s="67" t="s">
        <v>23</v>
      </c>
      <c r="L353" s="47" t="s">
        <v>32</v>
      </c>
      <c r="M353" s="478">
        <v>2</v>
      </c>
      <c r="N353" s="478" t="s">
        <v>33</v>
      </c>
      <c r="O353" s="52" t="s">
        <v>34</v>
      </c>
      <c r="P353" s="51">
        <f t="shared" si="25"/>
        <v>10000000</v>
      </c>
      <c r="Q353" s="49" t="s">
        <v>23</v>
      </c>
      <c r="R353" s="393"/>
    </row>
    <row r="354" spans="1:18" ht="17.45" customHeight="1">
      <c r="A354" s="227"/>
      <c r="B354" s="43"/>
      <c r="C354" s="390" t="s">
        <v>566</v>
      </c>
      <c r="D354" s="500">
        <v>1000</v>
      </c>
      <c r="E354" s="500">
        <f t="shared" si="21"/>
        <v>4120</v>
      </c>
      <c r="F354" s="389"/>
      <c r="G354" s="502">
        <f t="shared" si="24"/>
        <v>3120</v>
      </c>
      <c r="H354" s="503">
        <f t="shared" ref="H354:H362" si="26">+G354/D354*100</f>
        <v>312</v>
      </c>
      <c r="I354" s="242" t="s">
        <v>514</v>
      </c>
      <c r="J354" s="51">
        <v>2060000</v>
      </c>
      <c r="K354" s="67" t="s">
        <v>23</v>
      </c>
      <c r="L354" s="47" t="s">
        <v>32</v>
      </c>
      <c r="M354" s="478">
        <v>2</v>
      </c>
      <c r="N354" s="478" t="s">
        <v>33</v>
      </c>
      <c r="O354" s="52" t="s">
        <v>34</v>
      </c>
      <c r="P354" s="51">
        <f t="shared" si="25"/>
        <v>4120000</v>
      </c>
      <c r="Q354" s="49" t="s">
        <v>23</v>
      </c>
      <c r="R354" s="393"/>
    </row>
    <row r="355" spans="1:18" ht="17.45" customHeight="1">
      <c r="A355" s="227"/>
      <c r="B355" s="43"/>
      <c r="C355" s="396" t="s">
        <v>567</v>
      </c>
      <c r="D355" s="500">
        <v>12253</v>
      </c>
      <c r="E355" s="500">
        <f t="shared" si="21"/>
        <v>14420.5</v>
      </c>
      <c r="F355" s="389"/>
      <c r="G355" s="502">
        <f t="shared" si="24"/>
        <v>2167.5</v>
      </c>
      <c r="H355" s="503">
        <f t="shared" si="26"/>
        <v>17.689545417448787</v>
      </c>
      <c r="I355" s="242" t="s">
        <v>568</v>
      </c>
      <c r="J355" s="241">
        <v>7210250</v>
      </c>
      <c r="K355" s="67" t="s">
        <v>23</v>
      </c>
      <c r="L355" s="47" t="s">
        <v>32</v>
      </c>
      <c r="M355" s="478">
        <v>2</v>
      </c>
      <c r="N355" s="478" t="s">
        <v>33</v>
      </c>
      <c r="O355" s="52" t="s">
        <v>34</v>
      </c>
      <c r="P355" s="241">
        <f t="shared" si="25"/>
        <v>14420500</v>
      </c>
      <c r="Q355" s="49" t="s">
        <v>23</v>
      </c>
      <c r="R355" s="393"/>
    </row>
    <row r="356" spans="1:18" ht="17.45" customHeight="1">
      <c r="A356" s="227"/>
      <c r="B356" s="43"/>
      <c r="C356" s="396" t="s">
        <v>569</v>
      </c>
      <c r="D356" s="500">
        <v>9768</v>
      </c>
      <c r="E356" s="500">
        <f t="shared" si="21"/>
        <v>16267.94</v>
      </c>
      <c r="F356" s="389"/>
      <c r="G356" s="502">
        <f t="shared" si="24"/>
        <v>6499.9400000000005</v>
      </c>
      <c r="H356" s="503">
        <f t="shared" si="26"/>
        <v>66.543202293202299</v>
      </c>
      <c r="I356" s="242" t="s">
        <v>622</v>
      </c>
      <c r="J356" s="241">
        <v>8133970</v>
      </c>
      <c r="K356" s="67" t="s">
        <v>23</v>
      </c>
      <c r="L356" s="47" t="s">
        <v>32</v>
      </c>
      <c r="M356" s="478">
        <v>2</v>
      </c>
      <c r="N356" s="478" t="s">
        <v>33</v>
      </c>
      <c r="O356" s="52" t="s">
        <v>34</v>
      </c>
      <c r="P356" s="241">
        <f t="shared" si="25"/>
        <v>16267940</v>
      </c>
      <c r="Q356" s="49" t="s">
        <v>23</v>
      </c>
      <c r="R356" s="393"/>
    </row>
    <row r="357" spans="1:18" ht="17.45" customHeight="1">
      <c r="A357" s="227"/>
      <c r="B357" s="43"/>
      <c r="C357" s="396" t="s">
        <v>570</v>
      </c>
      <c r="D357" s="500">
        <v>10264</v>
      </c>
      <c r="E357" s="500">
        <f t="shared" si="21"/>
        <v>16445.900000000001</v>
      </c>
      <c r="F357" s="389"/>
      <c r="G357" s="502">
        <f t="shared" si="24"/>
        <v>6181.9000000000015</v>
      </c>
      <c r="H357" s="503">
        <f t="shared" si="26"/>
        <v>60.228955572876089</v>
      </c>
      <c r="I357" s="242" t="s">
        <v>622</v>
      </c>
      <c r="J357" s="241">
        <v>8222950</v>
      </c>
      <c r="K357" s="67" t="s">
        <v>23</v>
      </c>
      <c r="L357" s="47" t="s">
        <v>32</v>
      </c>
      <c r="M357" s="478">
        <v>2</v>
      </c>
      <c r="N357" s="478" t="s">
        <v>33</v>
      </c>
      <c r="O357" s="52" t="s">
        <v>34</v>
      </c>
      <c r="P357" s="241">
        <f t="shared" si="25"/>
        <v>16445900</v>
      </c>
      <c r="Q357" s="49" t="s">
        <v>23</v>
      </c>
      <c r="R357" s="393"/>
    </row>
    <row r="358" spans="1:18" ht="17.45" customHeight="1">
      <c r="A358" s="227"/>
      <c r="B358" s="43"/>
      <c r="C358" s="390" t="s">
        <v>571</v>
      </c>
      <c r="D358" s="500">
        <v>24253</v>
      </c>
      <c r="E358" s="500">
        <f t="shared" si="21"/>
        <v>24373.11</v>
      </c>
      <c r="F358" s="389"/>
      <c r="G358" s="502">
        <f t="shared" si="24"/>
        <v>120.11000000000058</v>
      </c>
      <c r="H358" s="503">
        <f t="shared" si="26"/>
        <v>0.49523770255226396</v>
      </c>
      <c r="I358" s="242" t="s">
        <v>622</v>
      </c>
      <c r="J358" s="241">
        <v>12186555</v>
      </c>
      <c r="K358" s="67" t="s">
        <v>23</v>
      </c>
      <c r="L358" s="47" t="s">
        <v>32</v>
      </c>
      <c r="M358" s="478">
        <v>2</v>
      </c>
      <c r="N358" s="478" t="s">
        <v>33</v>
      </c>
      <c r="O358" s="52" t="s">
        <v>34</v>
      </c>
      <c r="P358" s="241">
        <f t="shared" si="25"/>
        <v>24373110</v>
      </c>
      <c r="Q358" s="49" t="s">
        <v>23</v>
      </c>
      <c r="R358" s="393"/>
    </row>
    <row r="359" spans="1:18" ht="17.45" customHeight="1">
      <c r="A359" s="227"/>
      <c r="B359" s="43"/>
      <c r="C359" s="390" t="s">
        <v>572</v>
      </c>
      <c r="D359" s="500">
        <v>1019</v>
      </c>
      <c r="E359" s="500">
        <f t="shared" si="21"/>
        <v>1018.83</v>
      </c>
      <c r="F359" s="389"/>
      <c r="G359" s="502">
        <f t="shared" si="24"/>
        <v>-0.16999999999995907</v>
      </c>
      <c r="H359" s="503">
        <f t="shared" si="26"/>
        <v>-1.6683022571144165E-2</v>
      </c>
      <c r="I359" s="242" t="s">
        <v>161</v>
      </c>
      <c r="J359" s="241">
        <v>1018830</v>
      </c>
      <c r="K359" s="67" t="s">
        <v>23</v>
      </c>
      <c r="L359" s="47" t="s">
        <v>32</v>
      </c>
      <c r="M359" s="478">
        <v>1</v>
      </c>
      <c r="N359" s="478" t="s">
        <v>33</v>
      </c>
      <c r="O359" s="52" t="s">
        <v>34</v>
      </c>
      <c r="P359" s="241">
        <f t="shared" si="25"/>
        <v>1018830</v>
      </c>
      <c r="Q359" s="49" t="s">
        <v>23</v>
      </c>
      <c r="R359" s="393"/>
    </row>
    <row r="360" spans="1:18" ht="17.45" customHeight="1">
      <c r="A360" s="227"/>
      <c r="B360" s="43"/>
      <c r="C360" s="388" t="s">
        <v>573</v>
      </c>
      <c r="D360" s="500">
        <v>290000</v>
      </c>
      <c r="E360" s="500">
        <f t="shared" si="21"/>
        <v>290000</v>
      </c>
      <c r="F360" s="389"/>
      <c r="G360" s="502">
        <f t="shared" si="24"/>
        <v>0</v>
      </c>
      <c r="H360" s="503">
        <f t="shared" si="26"/>
        <v>0</v>
      </c>
      <c r="I360" s="242" t="s">
        <v>525</v>
      </c>
      <c r="J360" s="51">
        <v>72500000</v>
      </c>
      <c r="K360" s="67" t="s">
        <v>23</v>
      </c>
      <c r="L360" s="47" t="s">
        <v>32</v>
      </c>
      <c r="M360" s="478">
        <v>4</v>
      </c>
      <c r="N360" s="478" t="s">
        <v>33</v>
      </c>
      <c r="O360" s="52" t="s">
        <v>34</v>
      </c>
      <c r="P360" s="51">
        <f t="shared" si="25"/>
        <v>290000000</v>
      </c>
      <c r="Q360" s="49" t="s">
        <v>23</v>
      </c>
      <c r="R360" s="393"/>
    </row>
    <row r="361" spans="1:18" ht="17.45" customHeight="1">
      <c r="A361" s="227"/>
      <c r="B361" s="43"/>
      <c r="C361" s="394" t="s">
        <v>574</v>
      </c>
      <c r="D361" s="500">
        <v>1000</v>
      </c>
      <c r="E361" s="500">
        <f t="shared" si="21"/>
        <v>1000</v>
      </c>
      <c r="F361" s="389"/>
      <c r="G361" s="502">
        <f t="shared" si="24"/>
        <v>0</v>
      </c>
      <c r="H361" s="503">
        <f t="shared" si="26"/>
        <v>0</v>
      </c>
      <c r="I361" s="242" t="s">
        <v>525</v>
      </c>
      <c r="J361" s="51">
        <v>1000000</v>
      </c>
      <c r="K361" s="67" t="s">
        <v>23</v>
      </c>
      <c r="L361" s="47" t="s">
        <v>32</v>
      </c>
      <c r="M361" s="478">
        <v>1</v>
      </c>
      <c r="N361" s="478" t="s">
        <v>33</v>
      </c>
      <c r="O361" s="52" t="s">
        <v>34</v>
      </c>
      <c r="P361" s="51">
        <f t="shared" si="25"/>
        <v>1000000</v>
      </c>
      <c r="Q361" s="49" t="s">
        <v>23</v>
      </c>
      <c r="R361" s="393"/>
    </row>
    <row r="362" spans="1:18" ht="17.45" customHeight="1">
      <c r="A362" s="227"/>
      <c r="B362" s="43"/>
      <c r="C362" s="392" t="s">
        <v>575</v>
      </c>
      <c r="D362" s="500">
        <v>1000</v>
      </c>
      <c r="E362" s="500">
        <f t="shared" si="21"/>
        <v>1000</v>
      </c>
      <c r="F362" s="389"/>
      <c r="G362" s="502">
        <f t="shared" si="24"/>
        <v>0</v>
      </c>
      <c r="H362" s="503">
        <f t="shared" si="26"/>
        <v>0</v>
      </c>
      <c r="I362" s="242" t="s">
        <v>525</v>
      </c>
      <c r="J362" s="51">
        <v>1000000</v>
      </c>
      <c r="K362" s="67" t="s">
        <v>23</v>
      </c>
      <c r="L362" s="47" t="s">
        <v>32</v>
      </c>
      <c r="M362" s="478">
        <v>1</v>
      </c>
      <c r="N362" s="478" t="s">
        <v>33</v>
      </c>
      <c r="O362" s="52" t="s">
        <v>34</v>
      </c>
      <c r="P362" s="51">
        <f t="shared" si="25"/>
        <v>1000000</v>
      </c>
      <c r="Q362" s="49" t="s">
        <v>23</v>
      </c>
      <c r="R362" s="393"/>
    </row>
    <row r="363" spans="1:18" ht="17.45" customHeight="1">
      <c r="A363" s="227"/>
      <c r="B363" s="43"/>
      <c r="C363" s="397" t="s">
        <v>576</v>
      </c>
      <c r="D363" s="500">
        <v>108000</v>
      </c>
      <c r="E363" s="500">
        <f t="shared" si="21"/>
        <v>0</v>
      </c>
      <c r="F363" s="389"/>
      <c r="G363" s="502">
        <f t="shared" si="24"/>
        <v>-108000</v>
      </c>
      <c r="H363" s="503">
        <f>G363/D363*100</f>
        <v>-100</v>
      </c>
      <c r="I363" s="242" t="s">
        <v>577</v>
      </c>
      <c r="J363" s="51">
        <v>0</v>
      </c>
      <c r="K363" s="67" t="s">
        <v>23</v>
      </c>
      <c r="L363" s="47" t="s">
        <v>32</v>
      </c>
      <c r="M363" s="478">
        <v>1</v>
      </c>
      <c r="N363" s="478" t="s">
        <v>33</v>
      </c>
      <c r="O363" s="52"/>
      <c r="P363" s="51">
        <f t="shared" si="25"/>
        <v>0</v>
      </c>
      <c r="Q363" s="49" t="s">
        <v>23</v>
      </c>
      <c r="R363" s="393"/>
    </row>
    <row r="364" spans="1:18" ht="17.45" customHeight="1">
      <c r="A364" s="227"/>
      <c r="B364" s="43"/>
      <c r="C364" s="392" t="s">
        <v>578</v>
      </c>
      <c r="D364" s="500">
        <v>129925</v>
      </c>
      <c r="E364" s="500">
        <f>P364/1000</f>
        <v>0</v>
      </c>
      <c r="F364" s="389"/>
      <c r="G364" s="502">
        <f>+E364-D364</f>
        <v>-129925</v>
      </c>
      <c r="H364" s="503">
        <f>+G364/D364*100</f>
        <v>-100</v>
      </c>
      <c r="I364" s="242" t="s">
        <v>579</v>
      </c>
      <c r="J364" s="51">
        <v>0</v>
      </c>
      <c r="K364" s="67"/>
      <c r="L364" s="47"/>
      <c r="M364" s="478"/>
      <c r="N364" s="478" t="s">
        <v>33</v>
      </c>
      <c r="O364" s="52"/>
      <c r="P364" s="51">
        <f t="shared" si="25"/>
        <v>0</v>
      </c>
      <c r="Q364" s="49" t="s">
        <v>23</v>
      </c>
      <c r="R364" s="393"/>
    </row>
    <row r="365" spans="1:18" ht="17.45" customHeight="1">
      <c r="A365" s="227"/>
      <c r="B365" s="43"/>
      <c r="C365" s="398" t="s">
        <v>580</v>
      </c>
      <c r="D365" s="486">
        <v>0</v>
      </c>
      <c r="E365" s="500">
        <f>P365/1000</f>
        <v>3024</v>
      </c>
      <c r="F365" s="399"/>
      <c r="G365" s="502">
        <f>+E365-D365</f>
        <v>3024</v>
      </c>
      <c r="H365" s="400" t="s">
        <v>71</v>
      </c>
      <c r="I365" s="242" t="s">
        <v>581</v>
      </c>
      <c r="J365" s="51">
        <v>3024000</v>
      </c>
      <c r="K365" s="67" t="s">
        <v>23</v>
      </c>
      <c r="L365" s="47" t="s">
        <v>32</v>
      </c>
      <c r="M365" s="478">
        <v>1</v>
      </c>
      <c r="N365" s="478" t="s">
        <v>33</v>
      </c>
      <c r="O365" s="52" t="s">
        <v>34</v>
      </c>
      <c r="P365" s="51">
        <f t="shared" si="25"/>
        <v>3024000</v>
      </c>
      <c r="Q365" s="49" t="s">
        <v>23</v>
      </c>
      <c r="R365" s="393"/>
    </row>
    <row r="366" spans="1:18" ht="17.45" customHeight="1">
      <c r="A366" s="227"/>
      <c r="B366" s="43"/>
      <c r="C366" s="398" t="s">
        <v>582</v>
      </c>
      <c r="D366" s="486">
        <v>0</v>
      </c>
      <c r="E366" s="500">
        <f t="shared" ref="E366:F381" si="27">P366/1000</f>
        <v>5000</v>
      </c>
      <c r="F366" s="399"/>
      <c r="G366" s="502">
        <f t="shared" ref="G366:G384" si="28">+E366-D366</f>
        <v>5000</v>
      </c>
      <c r="H366" s="400" t="s">
        <v>71</v>
      </c>
      <c r="I366" s="242" t="s">
        <v>581</v>
      </c>
      <c r="J366" s="51">
        <v>5000000</v>
      </c>
      <c r="K366" s="67" t="s">
        <v>23</v>
      </c>
      <c r="L366" s="47" t="s">
        <v>32</v>
      </c>
      <c r="M366" s="478">
        <v>1</v>
      </c>
      <c r="N366" s="478" t="s">
        <v>33</v>
      </c>
      <c r="O366" s="52" t="s">
        <v>34</v>
      </c>
      <c r="P366" s="51">
        <f t="shared" si="25"/>
        <v>5000000</v>
      </c>
      <c r="Q366" s="49" t="s">
        <v>23</v>
      </c>
      <c r="R366" s="393"/>
    </row>
    <row r="367" spans="1:18" ht="17.45" customHeight="1">
      <c r="A367" s="227"/>
      <c r="B367" s="43"/>
      <c r="C367" s="401" t="s">
        <v>583</v>
      </c>
      <c r="D367" s="486">
        <v>0</v>
      </c>
      <c r="E367" s="500">
        <f t="shared" si="27"/>
        <v>1810.6</v>
      </c>
      <c r="F367" s="399"/>
      <c r="G367" s="502">
        <f t="shared" si="28"/>
        <v>1810.6</v>
      </c>
      <c r="H367" s="400" t="s">
        <v>71</v>
      </c>
      <c r="I367" s="242" t="s">
        <v>581</v>
      </c>
      <c r="J367" s="51">
        <v>1810600</v>
      </c>
      <c r="K367" s="67" t="s">
        <v>23</v>
      </c>
      <c r="L367" s="47" t="s">
        <v>32</v>
      </c>
      <c r="M367" s="478">
        <v>1</v>
      </c>
      <c r="N367" s="478" t="s">
        <v>33</v>
      </c>
      <c r="O367" s="52" t="s">
        <v>34</v>
      </c>
      <c r="P367" s="51">
        <f t="shared" si="25"/>
        <v>1810600</v>
      </c>
      <c r="Q367" s="49" t="s">
        <v>23</v>
      </c>
      <c r="R367" s="393"/>
    </row>
    <row r="368" spans="1:18" ht="17.45" customHeight="1">
      <c r="A368" s="227"/>
      <c r="B368" s="43"/>
      <c r="C368" s="402" t="s">
        <v>584</v>
      </c>
      <c r="D368" s="486">
        <v>0</v>
      </c>
      <c r="E368" s="500">
        <f t="shared" si="27"/>
        <v>3851.2</v>
      </c>
      <c r="F368" s="399"/>
      <c r="G368" s="502">
        <f t="shared" si="28"/>
        <v>3851.2</v>
      </c>
      <c r="H368" s="400" t="s">
        <v>71</v>
      </c>
      <c r="I368" s="242" t="s">
        <v>581</v>
      </c>
      <c r="J368" s="51">
        <v>3851200</v>
      </c>
      <c r="K368" s="67" t="s">
        <v>23</v>
      </c>
      <c r="L368" s="47" t="s">
        <v>32</v>
      </c>
      <c r="M368" s="478">
        <v>1</v>
      </c>
      <c r="N368" s="478" t="s">
        <v>33</v>
      </c>
      <c r="O368" s="52" t="s">
        <v>34</v>
      </c>
      <c r="P368" s="51">
        <f t="shared" si="25"/>
        <v>3851200</v>
      </c>
      <c r="Q368" s="49" t="s">
        <v>23</v>
      </c>
      <c r="R368" s="393"/>
    </row>
    <row r="369" spans="1:18" ht="17.45" customHeight="1">
      <c r="A369" s="227"/>
      <c r="B369" s="43"/>
      <c r="C369" s="401" t="s">
        <v>585</v>
      </c>
      <c r="D369" s="486">
        <v>0</v>
      </c>
      <c r="E369" s="500">
        <f t="shared" si="27"/>
        <v>4216.5</v>
      </c>
      <c r="F369" s="399"/>
      <c r="G369" s="502">
        <f t="shared" si="28"/>
        <v>4216.5</v>
      </c>
      <c r="H369" s="400" t="s">
        <v>71</v>
      </c>
      <c r="I369" s="242" t="s">
        <v>581</v>
      </c>
      <c r="J369" s="51">
        <v>4216500</v>
      </c>
      <c r="K369" s="67" t="s">
        <v>23</v>
      </c>
      <c r="L369" s="47" t="s">
        <v>32</v>
      </c>
      <c r="M369" s="478">
        <v>1</v>
      </c>
      <c r="N369" s="478" t="s">
        <v>33</v>
      </c>
      <c r="O369" s="52" t="s">
        <v>34</v>
      </c>
      <c r="P369" s="51">
        <f t="shared" si="25"/>
        <v>4216500</v>
      </c>
      <c r="Q369" s="49" t="s">
        <v>23</v>
      </c>
      <c r="R369" s="393"/>
    </row>
    <row r="370" spans="1:18" ht="17.45" customHeight="1">
      <c r="A370" s="227"/>
      <c r="B370" s="43"/>
      <c r="C370" s="401" t="s">
        <v>586</v>
      </c>
      <c r="D370" s="486">
        <v>0</v>
      </c>
      <c r="E370" s="500">
        <f t="shared" si="27"/>
        <v>4014</v>
      </c>
      <c r="F370" s="399"/>
      <c r="G370" s="502">
        <f t="shared" si="28"/>
        <v>4014</v>
      </c>
      <c r="H370" s="400" t="s">
        <v>71</v>
      </c>
      <c r="I370" s="242" t="s">
        <v>581</v>
      </c>
      <c r="J370" s="51">
        <v>4014000</v>
      </c>
      <c r="K370" s="67" t="s">
        <v>23</v>
      </c>
      <c r="L370" s="47" t="s">
        <v>32</v>
      </c>
      <c r="M370" s="478">
        <v>1</v>
      </c>
      <c r="N370" s="478" t="s">
        <v>33</v>
      </c>
      <c r="O370" s="52" t="s">
        <v>34</v>
      </c>
      <c r="P370" s="51">
        <f t="shared" si="25"/>
        <v>4014000</v>
      </c>
      <c r="Q370" s="49" t="s">
        <v>23</v>
      </c>
      <c r="R370" s="393"/>
    </row>
    <row r="371" spans="1:18" ht="17.45" customHeight="1">
      <c r="A371" s="227"/>
      <c r="B371" s="43"/>
      <c r="C371" s="401" t="s">
        <v>587</v>
      </c>
      <c r="D371" s="486">
        <v>0</v>
      </c>
      <c r="E371" s="500">
        <f t="shared" si="27"/>
        <v>3729</v>
      </c>
      <c r="F371" s="399"/>
      <c r="G371" s="502">
        <f t="shared" si="28"/>
        <v>3729</v>
      </c>
      <c r="H371" s="400" t="s">
        <v>71</v>
      </c>
      <c r="I371" s="242" t="s">
        <v>581</v>
      </c>
      <c r="J371" s="51">
        <v>3729000</v>
      </c>
      <c r="K371" s="67" t="s">
        <v>23</v>
      </c>
      <c r="L371" s="47" t="s">
        <v>32</v>
      </c>
      <c r="M371" s="478">
        <v>1</v>
      </c>
      <c r="N371" s="478" t="s">
        <v>33</v>
      </c>
      <c r="O371" s="52" t="s">
        <v>34</v>
      </c>
      <c r="P371" s="51">
        <f t="shared" si="25"/>
        <v>3729000</v>
      </c>
      <c r="Q371" s="49" t="s">
        <v>23</v>
      </c>
      <c r="R371" s="393"/>
    </row>
    <row r="372" spans="1:18" ht="17.45" customHeight="1">
      <c r="A372" s="227"/>
      <c r="B372" s="43"/>
      <c r="C372" s="401" t="s">
        <v>588</v>
      </c>
      <c r="D372" s="486">
        <v>0</v>
      </c>
      <c r="E372" s="500">
        <f t="shared" si="27"/>
        <v>3538</v>
      </c>
      <c r="F372" s="399"/>
      <c r="G372" s="502">
        <f t="shared" si="28"/>
        <v>3538</v>
      </c>
      <c r="H372" s="400" t="s">
        <v>71</v>
      </c>
      <c r="I372" s="242" t="s">
        <v>581</v>
      </c>
      <c r="J372" s="51">
        <v>3538000</v>
      </c>
      <c r="K372" s="67" t="s">
        <v>23</v>
      </c>
      <c r="L372" s="47" t="s">
        <v>32</v>
      </c>
      <c r="M372" s="478">
        <v>1</v>
      </c>
      <c r="N372" s="478" t="s">
        <v>33</v>
      </c>
      <c r="O372" s="52" t="s">
        <v>34</v>
      </c>
      <c r="P372" s="51">
        <f t="shared" si="25"/>
        <v>3538000</v>
      </c>
      <c r="Q372" s="49" t="s">
        <v>23</v>
      </c>
      <c r="R372" s="393"/>
    </row>
    <row r="373" spans="1:18" ht="17.45" customHeight="1">
      <c r="A373" s="227"/>
      <c r="B373" s="43"/>
      <c r="C373" s="398" t="s">
        <v>589</v>
      </c>
      <c r="D373" s="486">
        <v>0</v>
      </c>
      <c r="E373" s="500">
        <f t="shared" si="27"/>
        <v>4365</v>
      </c>
      <c r="F373" s="399"/>
      <c r="G373" s="502">
        <f t="shared" si="28"/>
        <v>4365</v>
      </c>
      <c r="H373" s="400" t="s">
        <v>71</v>
      </c>
      <c r="I373" s="242" t="s">
        <v>581</v>
      </c>
      <c r="J373" s="51">
        <v>4365000</v>
      </c>
      <c r="K373" s="67" t="s">
        <v>23</v>
      </c>
      <c r="L373" s="47" t="s">
        <v>32</v>
      </c>
      <c r="M373" s="478">
        <v>1</v>
      </c>
      <c r="N373" s="478" t="s">
        <v>33</v>
      </c>
      <c r="O373" s="52" t="s">
        <v>34</v>
      </c>
      <c r="P373" s="51">
        <f t="shared" si="25"/>
        <v>4365000</v>
      </c>
      <c r="Q373" s="49" t="s">
        <v>23</v>
      </c>
      <c r="R373" s="393"/>
    </row>
    <row r="374" spans="1:18" ht="17.45" customHeight="1">
      <c r="A374" s="227"/>
      <c r="B374" s="43"/>
      <c r="C374" s="398" t="s">
        <v>590</v>
      </c>
      <c r="D374" s="486">
        <v>0</v>
      </c>
      <c r="E374" s="500">
        <f t="shared" si="27"/>
        <v>5000</v>
      </c>
      <c r="F374" s="399"/>
      <c r="G374" s="502">
        <f t="shared" si="28"/>
        <v>5000</v>
      </c>
      <c r="H374" s="400" t="s">
        <v>71</v>
      </c>
      <c r="I374" s="242" t="s">
        <v>581</v>
      </c>
      <c r="J374" s="51">
        <v>5000000</v>
      </c>
      <c r="K374" s="67" t="s">
        <v>23</v>
      </c>
      <c r="L374" s="47" t="s">
        <v>32</v>
      </c>
      <c r="M374" s="478">
        <v>1</v>
      </c>
      <c r="N374" s="478" t="s">
        <v>33</v>
      </c>
      <c r="O374" s="52" t="s">
        <v>34</v>
      </c>
      <c r="P374" s="51">
        <f t="shared" si="25"/>
        <v>5000000</v>
      </c>
      <c r="Q374" s="49" t="s">
        <v>23</v>
      </c>
      <c r="R374" s="393"/>
    </row>
    <row r="375" spans="1:18" ht="17.45" customHeight="1">
      <c r="A375" s="227"/>
      <c r="B375" s="43"/>
      <c r="C375" s="398" t="s">
        <v>591</v>
      </c>
      <c r="D375" s="486">
        <v>0</v>
      </c>
      <c r="E375" s="500">
        <f t="shared" si="27"/>
        <v>1056</v>
      </c>
      <c r="F375" s="399"/>
      <c r="G375" s="502">
        <f t="shared" si="28"/>
        <v>1056</v>
      </c>
      <c r="H375" s="400" t="s">
        <v>71</v>
      </c>
      <c r="I375" s="242" t="s">
        <v>581</v>
      </c>
      <c r="J375" s="51">
        <v>1056000</v>
      </c>
      <c r="K375" s="67" t="s">
        <v>23</v>
      </c>
      <c r="L375" s="47" t="s">
        <v>32</v>
      </c>
      <c r="M375" s="478">
        <v>1</v>
      </c>
      <c r="N375" s="478" t="s">
        <v>33</v>
      </c>
      <c r="O375" s="52" t="s">
        <v>34</v>
      </c>
      <c r="P375" s="51">
        <f t="shared" si="25"/>
        <v>1056000</v>
      </c>
      <c r="Q375" s="49" t="s">
        <v>23</v>
      </c>
      <c r="R375" s="393"/>
    </row>
    <row r="376" spans="1:18" ht="17.45" customHeight="1">
      <c r="A376" s="227"/>
      <c r="B376" s="43"/>
      <c r="C376" s="398" t="s">
        <v>592</v>
      </c>
      <c r="D376" s="486">
        <v>0</v>
      </c>
      <c r="E376" s="500">
        <f t="shared" si="27"/>
        <v>3207</v>
      </c>
      <c r="F376" s="399"/>
      <c r="G376" s="502">
        <f t="shared" si="28"/>
        <v>3207</v>
      </c>
      <c r="H376" s="400" t="s">
        <v>71</v>
      </c>
      <c r="I376" s="242" t="s">
        <v>581</v>
      </c>
      <c r="J376" s="51">
        <v>3207000</v>
      </c>
      <c r="K376" s="67" t="s">
        <v>23</v>
      </c>
      <c r="L376" s="47" t="s">
        <v>32</v>
      </c>
      <c r="M376" s="478">
        <v>1</v>
      </c>
      <c r="N376" s="478" t="s">
        <v>33</v>
      </c>
      <c r="O376" s="52" t="s">
        <v>34</v>
      </c>
      <c r="P376" s="51">
        <f>SUM(J376*M376)</f>
        <v>3207000</v>
      </c>
      <c r="Q376" s="49" t="s">
        <v>23</v>
      </c>
      <c r="R376" s="393"/>
    </row>
    <row r="377" spans="1:18" ht="17.45" customHeight="1">
      <c r="A377" s="227"/>
      <c r="B377" s="43"/>
      <c r="C377" s="398" t="s">
        <v>593</v>
      </c>
      <c r="D377" s="486">
        <v>0</v>
      </c>
      <c r="E377" s="500">
        <f t="shared" si="27"/>
        <v>5000</v>
      </c>
      <c r="F377" s="399"/>
      <c r="G377" s="502">
        <f t="shared" si="28"/>
        <v>5000</v>
      </c>
      <c r="H377" s="400" t="s">
        <v>71</v>
      </c>
      <c r="I377" s="242" t="s">
        <v>581</v>
      </c>
      <c r="J377" s="51">
        <v>5000000</v>
      </c>
      <c r="K377" s="67" t="s">
        <v>23</v>
      </c>
      <c r="L377" s="47" t="s">
        <v>32</v>
      </c>
      <c r="M377" s="478">
        <v>1</v>
      </c>
      <c r="N377" s="478" t="s">
        <v>33</v>
      </c>
      <c r="O377" s="52" t="s">
        <v>34</v>
      </c>
      <c r="P377" s="51">
        <f>SUM(J377*M377)</f>
        <v>5000000</v>
      </c>
      <c r="Q377" s="49" t="s">
        <v>23</v>
      </c>
      <c r="R377" s="393"/>
    </row>
    <row r="378" spans="1:18" ht="17.45" customHeight="1">
      <c r="A378" s="227"/>
      <c r="B378" s="43"/>
      <c r="C378" s="398" t="s">
        <v>594</v>
      </c>
      <c r="D378" s="486">
        <v>0</v>
      </c>
      <c r="E378" s="500">
        <f t="shared" si="27"/>
        <v>770</v>
      </c>
      <c r="F378" s="399"/>
      <c r="G378" s="502">
        <f t="shared" si="28"/>
        <v>770</v>
      </c>
      <c r="H378" s="400" t="s">
        <v>71</v>
      </c>
      <c r="I378" s="242" t="s">
        <v>581</v>
      </c>
      <c r="J378" s="51">
        <v>770000</v>
      </c>
      <c r="K378" s="67" t="s">
        <v>23</v>
      </c>
      <c r="L378" s="47" t="s">
        <v>32</v>
      </c>
      <c r="M378" s="478">
        <v>1</v>
      </c>
      <c r="N378" s="478" t="s">
        <v>33</v>
      </c>
      <c r="O378" s="52" t="s">
        <v>34</v>
      </c>
      <c r="P378" s="51">
        <f>SUM(J378*M378)</f>
        <v>770000</v>
      </c>
      <c r="Q378" s="49" t="s">
        <v>23</v>
      </c>
      <c r="R378" s="393"/>
    </row>
    <row r="379" spans="1:18" ht="17.45" customHeight="1">
      <c r="A379" s="227"/>
      <c r="B379" s="43"/>
      <c r="C379" s="398" t="s">
        <v>595</v>
      </c>
      <c r="D379" s="486">
        <v>0</v>
      </c>
      <c r="E379" s="500">
        <f t="shared" si="27"/>
        <v>120</v>
      </c>
      <c r="F379" s="500" t="e">
        <f t="shared" si="27"/>
        <v>#VALUE!</v>
      </c>
      <c r="G379" s="502">
        <f t="shared" si="28"/>
        <v>120</v>
      </c>
      <c r="H379" s="400" t="s">
        <v>71</v>
      </c>
      <c r="I379" s="242" t="s">
        <v>581</v>
      </c>
      <c r="J379" s="51">
        <v>120000</v>
      </c>
      <c r="K379" s="67" t="s">
        <v>23</v>
      </c>
      <c r="L379" s="47" t="s">
        <v>32</v>
      </c>
      <c r="M379" s="478">
        <v>1</v>
      </c>
      <c r="N379" s="478" t="s">
        <v>33</v>
      </c>
      <c r="O379" s="52" t="s">
        <v>34</v>
      </c>
      <c r="P379" s="51">
        <f>SUM(J379*M379)</f>
        <v>120000</v>
      </c>
      <c r="Q379" s="49" t="s">
        <v>23</v>
      </c>
      <c r="R379" s="393"/>
    </row>
    <row r="380" spans="1:18" ht="17.45" customHeight="1">
      <c r="A380" s="227"/>
      <c r="B380" s="43"/>
      <c r="C380" s="398" t="s">
        <v>596</v>
      </c>
      <c r="D380" s="486">
        <v>0</v>
      </c>
      <c r="E380" s="500">
        <f t="shared" si="27"/>
        <v>120</v>
      </c>
      <c r="F380" s="399"/>
      <c r="G380" s="502">
        <f t="shared" si="28"/>
        <v>120</v>
      </c>
      <c r="H380" s="400" t="s">
        <v>71</v>
      </c>
      <c r="I380" s="242" t="s">
        <v>581</v>
      </c>
      <c r="J380" s="51">
        <v>120000</v>
      </c>
      <c r="K380" s="67" t="s">
        <v>23</v>
      </c>
      <c r="L380" s="47" t="s">
        <v>32</v>
      </c>
      <c r="M380" s="478">
        <v>1</v>
      </c>
      <c r="N380" s="478" t="s">
        <v>33</v>
      </c>
      <c r="O380" s="52" t="s">
        <v>34</v>
      </c>
      <c r="P380" s="51">
        <f>SUM(J380*M380)</f>
        <v>120000</v>
      </c>
      <c r="Q380" s="49" t="s">
        <v>23</v>
      </c>
      <c r="R380" s="393"/>
    </row>
    <row r="381" spans="1:18" ht="17.45" customHeight="1">
      <c r="A381" s="227"/>
      <c r="B381" s="43"/>
      <c r="C381" s="398" t="s">
        <v>597</v>
      </c>
      <c r="D381" s="486">
        <v>0</v>
      </c>
      <c r="E381" s="500">
        <f t="shared" si="27"/>
        <v>10000</v>
      </c>
      <c r="F381" s="399"/>
      <c r="G381" s="502">
        <f t="shared" si="28"/>
        <v>10000</v>
      </c>
      <c r="H381" s="400" t="s">
        <v>71</v>
      </c>
      <c r="I381" s="242" t="s">
        <v>581</v>
      </c>
      <c r="J381" s="51">
        <v>5000000</v>
      </c>
      <c r="K381" s="67" t="s">
        <v>23</v>
      </c>
      <c r="L381" s="47" t="s">
        <v>32</v>
      </c>
      <c r="M381" s="478">
        <v>2</v>
      </c>
      <c r="N381" s="478" t="s">
        <v>33</v>
      </c>
      <c r="O381" s="52" t="s">
        <v>34</v>
      </c>
      <c r="P381" s="51">
        <f t="shared" si="25"/>
        <v>10000000</v>
      </c>
      <c r="Q381" s="49" t="s">
        <v>23</v>
      </c>
      <c r="R381" s="393"/>
    </row>
    <row r="382" spans="1:18" ht="17.45" customHeight="1">
      <c r="A382" s="227"/>
      <c r="B382" s="43"/>
      <c r="C382" s="402" t="s">
        <v>598</v>
      </c>
      <c r="D382" s="486">
        <v>0</v>
      </c>
      <c r="E382" s="500">
        <f t="shared" ref="E382:E383" si="29">P382/1000</f>
        <v>2000</v>
      </c>
      <c r="F382" s="399"/>
      <c r="G382" s="502">
        <f t="shared" si="28"/>
        <v>2000</v>
      </c>
      <c r="H382" s="400" t="s">
        <v>71</v>
      </c>
      <c r="I382" s="242" t="s">
        <v>581</v>
      </c>
      <c r="J382" s="51">
        <v>2000000</v>
      </c>
      <c r="K382" s="67" t="s">
        <v>23</v>
      </c>
      <c r="L382" s="47" t="s">
        <v>32</v>
      </c>
      <c r="M382" s="478">
        <v>1</v>
      </c>
      <c r="N382" s="478" t="s">
        <v>33</v>
      </c>
      <c r="O382" s="52" t="s">
        <v>34</v>
      </c>
      <c r="P382" s="51">
        <f t="shared" si="25"/>
        <v>2000000</v>
      </c>
      <c r="Q382" s="49" t="s">
        <v>23</v>
      </c>
      <c r="R382" s="393"/>
    </row>
    <row r="383" spans="1:18" ht="17.45" customHeight="1">
      <c r="A383" s="227"/>
      <c r="B383" s="270"/>
      <c r="C383" s="390" t="s">
        <v>599</v>
      </c>
      <c r="D383" s="500">
        <v>0</v>
      </c>
      <c r="E383" s="500">
        <f t="shared" si="29"/>
        <v>6000</v>
      </c>
      <c r="F383" s="399"/>
      <c r="G383" s="502">
        <f t="shared" si="28"/>
        <v>6000</v>
      </c>
      <c r="H383" s="400" t="s">
        <v>71</v>
      </c>
      <c r="I383" s="238" t="s">
        <v>525</v>
      </c>
      <c r="J383" s="142">
        <v>6000000</v>
      </c>
      <c r="K383" s="245" t="s">
        <v>23</v>
      </c>
      <c r="L383" s="144" t="s">
        <v>32</v>
      </c>
      <c r="M383" s="143">
        <v>1</v>
      </c>
      <c r="N383" s="143" t="s">
        <v>33</v>
      </c>
      <c r="O383" s="145" t="s">
        <v>34</v>
      </c>
      <c r="P383" s="142">
        <f t="shared" si="25"/>
        <v>6000000</v>
      </c>
      <c r="Q383" s="146" t="s">
        <v>23</v>
      </c>
      <c r="R383" s="393"/>
    </row>
    <row r="384" spans="1:18" ht="21.75" customHeight="1">
      <c r="A384" s="382" t="s">
        <v>600</v>
      </c>
      <c r="B384" s="564" t="s">
        <v>16</v>
      </c>
      <c r="C384" s="575"/>
      <c r="D384" s="403">
        <f>SUM(D385:D390)</f>
        <v>2434876</v>
      </c>
      <c r="E384" s="404">
        <f>SUM(E385:E390)</f>
        <v>3126318.361</v>
      </c>
      <c r="F384" s="404">
        <f>SUM(F386:F388)</f>
        <v>0</v>
      </c>
      <c r="G384" s="405">
        <f t="shared" si="28"/>
        <v>691442.36100000003</v>
      </c>
      <c r="H384" s="406">
        <f>+G384/D384*100</f>
        <v>28.397436296550627</v>
      </c>
      <c r="I384" s="255"/>
      <c r="J384" s="42"/>
      <c r="K384" s="69"/>
      <c r="L384" s="457"/>
      <c r="M384" s="457" t="s">
        <v>40</v>
      </c>
      <c r="N384" s="457"/>
      <c r="O384" s="457"/>
      <c r="P384" s="42">
        <f>SUM(P385,P389)</f>
        <v>3126318361</v>
      </c>
      <c r="Q384" s="38" t="s">
        <v>14</v>
      </c>
      <c r="R384" s="393"/>
    </row>
    <row r="385" spans="1:35" ht="18.75" customHeight="1">
      <c r="A385" s="407" t="s">
        <v>601</v>
      </c>
      <c r="B385" s="622" t="s">
        <v>602</v>
      </c>
      <c r="C385" s="625" t="s">
        <v>603</v>
      </c>
      <c r="D385" s="628">
        <v>2428995</v>
      </c>
      <c r="E385" s="616">
        <f>P385/1000</f>
        <v>3120437.523</v>
      </c>
      <c r="F385" s="408"/>
      <c r="G385" s="607">
        <f>E385-D385</f>
        <v>691442.52300000004</v>
      </c>
      <c r="H385" s="610">
        <f>G385/D385*100</f>
        <v>28.466197871959391</v>
      </c>
      <c r="I385" s="239"/>
      <c r="J385" s="42"/>
      <c r="K385" s="69"/>
      <c r="L385" s="457"/>
      <c r="M385" s="457"/>
      <c r="N385" s="457"/>
      <c r="O385" s="457"/>
      <c r="P385" s="42">
        <f>SUM(P386:P388)</f>
        <v>3120437523</v>
      </c>
      <c r="Q385" s="38" t="s">
        <v>14</v>
      </c>
    </row>
    <row r="386" spans="1:35" ht="16.5" customHeight="1">
      <c r="A386" s="227"/>
      <c r="B386" s="623"/>
      <c r="C386" s="626"/>
      <c r="D386" s="629"/>
      <c r="E386" s="631"/>
      <c r="F386" s="408"/>
      <c r="G386" s="608"/>
      <c r="H386" s="611"/>
      <c r="I386" s="524" t="s">
        <v>604</v>
      </c>
      <c r="J386" s="51">
        <v>696743085</v>
      </c>
      <c r="K386" s="67" t="s">
        <v>74</v>
      </c>
      <c r="L386" s="47" t="s">
        <v>32</v>
      </c>
      <c r="M386" s="478">
        <v>1</v>
      </c>
      <c r="N386" s="478" t="s">
        <v>144</v>
      </c>
      <c r="O386" s="52" t="s">
        <v>73</v>
      </c>
      <c r="P386" s="51">
        <f>+J386*M386</f>
        <v>696743085</v>
      </c>
      <c r="Q386" s="49" t="s">
        <v>74</v>
      </c>
    </row>
    <row r="387" spans="1:35" ht="16.5" customHeight="1">
      <c r="A387" s="227"/>
      <c r="B387" s="623"/>
      <c r="C387" s="626"/>
      <c r="D387" s="629"/>
      <c r="E387" s="631"/>
      <c r="F387" s="409"/>
      <c r="G387" s="608"/>
      <c r="H387" s="611"/>
      <c r="I387" s="525" t="s">
        <v>605</v>
      </c>
      <c r="J387" s="51">
        <v>529041000</v>
      </c>
      <c r="K387" s="67" t="s">
        <v>74</v>
      </c>
      <c r="L387" s="47" t="s">
        <v>32</v>
      </c>
      <c r="M387" s="478">
        <v>1</v>
      </c>
      <c r="N387" s="478" t="s">
        <v>144</v>
      </c>
      <c r="O387" s="52" t="s">
        <v>73</v>
      </c>
      <c r="P387" s="51">
        <f>+J387*M387</f>
        <v>529041000</v>
      </c>
      <c r="Q387" s="49" t="s">
        <v>74</v>
      </c>
    </row>
    <row r="388" spans="1:35" ht="16.5" customHeight="1">
      <c r="A388" s="227"/>
      <c r="B388" s="623"/>
      <c r="C388" s="627"/>
      <c r="D388" s="630"/>
      <c r="E388" s="632"/>
      <c r="F388" s="410"/>
      <c r="G388" s="609"/>
      <c r="H388" s="612"/>
      <c r="I388" s="526" t="s">
        <v>606</v>
      </c>
      <c r="J388" s="527">
        <v>1894653438</v>
      </c>
      <c r="K388" s="245" t="s">
        <v>74</v>
      </c>
      <c r="L388" s="144" t="s">
        <v>32</v>
      </c>
      <c r="M388" s="143">
        <v>1</v>
      </c>
      <c r="N388" s="143" t="s">
        <v>144</v>
      </c>
      <c r="O388" s="145" t="s">
        <v>73</v>
      </c>
      <c r="P388" s="142">
        <f>+J388*M388</f>
        <v>1894653438</v>
      </c>
      <c r="Q388" s="146" t="s">
        <v>74</v>
      </c>
    </row>
    <row r="389" spans="1:35" ht="16.5" customHeight="1">
      <c r="A389" s="227"/>
      <c r="B389" s="623"/>
      <c r="C389" s="576" t="s">
        <v>607</v>
      </c>
      <c r="D389" s="614">
        <v>5881</v>
      </c>
      <c r="E389" s="616">
        <f>P389/1000</f>
        <v>5880.8379999999997</v>
      </c>
      <c r="F389" s="411"/>
      <c r="G389" s="607">
        <f>E389-D389</f>
        <v>-0.16200000000026193</v>
      </c>
      <c r="H389" s="610">
        <f>G389/D389*100</f>
        <v>-2.7546335657245694E-3</v>
      </c>
      <c r="I389" s="239"/>
      <c r="J389" s="54"/>
      <c r="K389" s="69"/>
      <c r="L389" s="53"/>
      <c r="M389" s="457" t="s">
        <v>22</v>
      </c>
      <c r="N389" s="457"/>
      <c r="O389" s="457"/>
      <c r="P389" s="42">
        <f>SUM(P390:P390)</f>
        <v>5880838</v>
      </c>
      <c r="Q389" s="38" t="s">
        <v>23</v>
      </c>
    </row>
    <row r="390" spans="1:35" ht="16.5" customHeight="1" thickBot="1">
      <c r="A390" s="281"/>
      <c r="B390" s="624"/>
      <c r="C390" s="613"/>
      <c r="D390" s="615"/>
      <c r="E390" s="617"/>
      <c r="F390" s="412"/>
      <c r="G390" s="618"/>
      <c r="H390" s="619"/>
      <c r="I390" s="413" t="s">
        <v>608</v>
      </c>
      <c r="J390" s="414">
        <v>5880838</v>
      </c>
      <c r="K390" s="415" t="s">
        <v>74</v>
      </c>
      <c r="L390" s="193" t="s">
        <v>32</v>
      </c>
      <c r="M390" s="192">
        <v>1</v>
      </c>
      <c r="N390" s="192" t="s">
        <v>42</v>
      </c>
      <c r="O390" s="194" t="s">
        <v>73</v>
      </c>
      <c r="P390" s="416">
        <f t="shared" ref="P390:P395" si="30">+J390*M390</f>
        <v>5880838</v>
      </c>
      <c r="Q390" s="195" t="s">
        <v>74</v>
      </c>
    </row>
    <row r="391" spans="1:35" hidden="1">
      <c r="A391" s="417" t="s">
        <v>609</v>
      </c>
      <c r="B391" s="418" t="s">
        <v>610</v>
      </c>
      <c r="C391" s="419" t="s">
        <v>611</v>
      </c>
      <c r="D391" s="420"/>
      <c r="E391" s="420">
        <f>+P391/1000</f>
        <v>0</v>
      </c>
      <c r="F391" s="421">
        <f>+E391-D391</f>
        <v>0</v>
      </c>
      <c r="G391" s="483">
        <f>+E391-D391</f>
        <v>0</v>
      </c>
      <c r="H391" s="422" t="e">
        <f>+G391/D391*100</f>
        <v>#DIV/0!</v>
      </c>
      <c r="I391" s="423" t="s">
        <v>612</v>
      </c>
      <c r="J391" s="295"/>
      <c r="K391" s="245" t="s">
        <v>74</v>
      </c>
      <c r="L391" s="144" t="s">
        <v>32</v>
      </c>
      <c r="M391" s="143">
        <v>1</v>
      </c>
      <c r="N391" s="143" t="s">
        <v>144</v>
      </c>
      <c r="O391" s="145" t="s">
        <v>73</v>
      </c>
      <c r="P391" s="295">
        <f t="shared" si="30"/>
        <v>0</v>
      </c>
      <c r="Q391" s="146" t="s">
        <v>74</v>
      </c>
      <c r="R391" s="1"/>
      <c r="S391" s="2"/>
      <c r="AE391" s="1"/>
      <c r="AF391" s="2"/>
      <c r="AI391" s="206"/>
    </row>
    <row r="392" spans="1:35" hidden="1">
      <c r="A392" s="417"/>
      <c r="B392" s="43"/>
      <c r="C392" s="424" t="s">
        <v>613</v>
      </c>
      <c r="D392" s="425"/>
      <c r="E392" s="425">
        <f>+P392/1000</f>
        <v>0</v>
      </c>
      <c r="F392" s="426">
        <f>+E392-D392</f>
        <v>0</v>
      </c>
      <c r="G392" s="502">
        <f>+E392-D392</f>
        <v>0</v>
      </c>
      <c r="H392" s="427" t="e">
        <f>+G392/D392*100</f>
        <v>#DIV/0!</v>
      </c>
      <c r="I392" s="428" t="s">
        <v>614</v>
      </c>
      <c r="J392" s="171"/>
      <c r="K392" s="61" t="s">
        <v>74</v>
      </c>
      <c r="L392" s="169" t="s">
        <v>32</v>
      </c>
      <c r="M392" s="459">
        <v>1</v>
      </c>
      <c r="N392" s="459" t="s">
        <v>144</v>
      </c>
      <c r="O392" s="170" t="s">
        <v>73</v>
      </c>
      <c r="P392" s="171">
        <f t="shared" si="30"/>
        <v>0</v>
      </c>
      <c r="Q392" s="98" t="s">
        <v>74</v>
      </c>
      <c r="R392" s="1"/>
      <c r="S392" s="2"/>
      <c r="AE392" s="1"/>
      <c r="AF392" s="2"/>
      <c r="AI392" s="206"/>
    </row>
    <row r="393" spans="1:35" ht="18" hidden="1" thickBot="1">
      <c r="A393" s="417"/>
      <c r="B393" s="43"/>
      <c r="C393" s="429" t="s">
        <v>615</v>
      </c>
      <c r="D393" s="425"/>
      <c r="E393" s="425">
        <f>+P393/1000</f>
        <v>0</v>
      </c>
      <c r="F393" s="430">
        <f>+E393-D393</f>
        <v>0</v>
      </c>
      <c r="G393" s="502">
        <f>+E393-D393</f>
        <v>0</v>
      </c>
      <c r="H393" s="427" t="e">
        <f>+G393/D393*100</f>
        <v>#DIV/0!</v>
      </c>
      <c r="I393" s="431" t="s">
        <v>260</v>
      </c>
      <c r="J393" s="54"/>
      <c r="K393" s="69" t="s">
        <v>74</v>
      </c>
      <c r="L393" s="53" t="s">
        <v>32</v>
      </c>
      <c r="M393" s="457">
        <v>1</v>
      </c>
      <c r="N393" s="457" t="s">
        <v>144</v>
      </c>
      <c r="O393" s="170" t="s">
        <v>73</v>
      </c>
      <c r="P393" s="171">
        <f t="shared" si="30"/>
        <v>0</v>
      </c>
      <c r="Q393" s="98" t="s">
        <v>74</v>
      </c>
      <c r="R393" s="1"/>
      <c r="S393" s="2"/>
      <c r="AE393" s="1"/>
      <c r="AF393" s="2"/>
      <c r="AI393" s="206"/>
    </row>
    <row r="394" spans="1:35" ht="18" hidden="1" thickBot="1">
      <c r="A394" s="329"/>
      <c r="B394" s="494"/>
      <c r="C394" s="432" t="s">
        <v>616</v>
      </c>
      <c r="D394" s="425"/>
      <c r="E394" s="425">
        <f>+P394/1000</f>
        <v>0</v>
      </c>
      <c r="F394" s="430">
        <f>+E394-D394</f>
        <v>0</v>
      </c>
      <c r="G394" s="502">
        <f>+E394-D394</f>
        <v>0</v>
      </c>
      <c r="H394" s="427" t="e">
        <f>+G394/D394*100</f>
        <v>#DIV/0!</v>
      </c>
      <c r="I394" s="431" t="s">
        <v>617</v>
      </c>
      <c r="J394" s="54"/>
      <c r="K394" s="69" t="s">
        <v>74</v>
      </c>
      <c r="L394" s="53" t="s">
        <v>32</v>
      </c>
      <c r="M394" s="457">
        <v>1</v>
      </c>
      <c r="N394" s="457" t="s">
        <v>144</v>
      </c>
      <c r="O394" s="170" t="s">
        <v>73</v>
      </c>
      <c r="P394" s="171">
        <f t="shared" si="30"/>
        <v>0</v>
      </c>
      <c r="Q394" s="98" t="s">
        <v>74</v>
      </c>
    </row>
    <row r="395" spans="1:35" ht="18" hidden="1" thickBot="1">
      <c r="A395" s="433"/>
      <c r="B395" s="434"/>
      <c r="C395" s="435" t="s">
        <v>618</v>
      </c>
      <c r="D395" s="436"/>
      <c r="E395" s="425">
        <f>+P395/1000</f>
        <v>0</v>
      </c>
      <c r="F395" s="430">
        <f>+E395-D395</f>
        <v>0</v>
      </c>
      <c r="G395" s="502">
        <f>+E395-D395</f>
        <v>0</v>
      </c>
      <c r="H395" s="437" t="e">
        <f>+G395/D395*100</f>
        <v>#DIV/0!</v>
      </c>
      <c r="I395" s="438" t="s">
        <v>619</v>
      </c>
      <c r="J395" s="439"/>
      <c r="K395" s="440" t="s">
        <v>74</v>
      </c>
      <c r="L395" s="441" t="s">
        <v>32</v>
      </c>
      <c r="M395" s="442">
        <v>1</v>
      </c>
      <c r="N395" s="442" t="s">
        <v>144</v>
      </c>
      <c r="O395" s="443" t="s">
        <v>73</v>
      </c>
      <c r="P395" s="439">
        <f t="shared" si="30"/>
        <v>0</v>
      </c>
      <c r="Q395" s="444" t="s">
        <v>74</v>
      </c>
    </row>
    <row r="396" spans="1:35">
      <c r="A396" s="445"/>
      <c r="B396" s="319"/>
      <c r="C396" s="319"/>
      <c r="D396" s="446"/>
      <c r="E396" s="445"/>
      <c r="G396" s="447"/>
      <c r="H396" s="448"/>
      <c r="I396" s="449"/>
      <c r="J396" s="51"/>
      <c r="K396" s="67"/>
      <c r="L396" s="478"/>
      <c r="M396" s="478"/>
      <c r="N396" s="478"/>
      <c r="O396" s="478"/>
      <c r="P396" s="51"/>
      <c r="Q396" s="67"/>
    </row>
    <row r="397" spans="1:35">
      <c r="A397" s="445"/>
      <c r="B397" s="319"/>
      <c r="C397" s="319"/>
      <c r="D397" s="446"/>
      <c r="E397" s="445"/>
      <c r="G397" s="447"/>
      <c r="H397" s="448"/>
      <c r="I397" s="450"/>
      <c r="J397" s="51"/>
      <c r="K397" s="67"/>
      <c r="L397" s="478"/>
      <c r="M397" s="478"/>
      <c r="N397" s="478"/>
      <c r="O397" s="478"/>
      <c r="P397" s="51"/>
      <c r="Q397" s="67"/>
    </row>
    <row r="398" spans="1:35">
      <c r="A398" s="445"/>
      <c r="G398" s="447"/>
      <c r="H398" s="448"/>
      <c r="I398" s="451"/>
    </row>
    <row r="399" spans="1:35">
      <c r="G399" s="447"/>
      <c r="H399" s="448"/>
      <c r="I399" s="451"/>
    </row>
    <row r="401" spans="9:9">
      <c r="I401" s="453"/>
    </row>
    <row r="402" spans="9:9">
      <c r="I402" s="453"/>
    </row>
    <row r="403" spans="9:9">
      <c r="I403" s="453">
        <f>+I401-I402</f>
        <v>0</v>
      </c>
    </row>
  </sheetData>
  <mergeCells count="464">
    <mergeCell ref="A4:C4"/>
    <mergeCell ref="B5:C5"/>
    <mergeCell ref="C7:C10"/>
    <mergeCell ref="D7:D10"/>
    <mergeCell ref="E7:E10"/>
    <mergeCell ref="G7:G10"/>
    <mergeCell ref="H7:H10"/>
    <mergeCell ref="A1:B1"/>
    <mergeCell ref="O1:Q1"/>
    <mergeCell ref="A2:A3"/>
    <mergeCell ref="B2:B3"/>
    <mergeCell ref="C2:C3"/>
    <mergeCell ref="D2:D3"/>
    <mergeCell ref="E2:E3"/>
    <mergeCell ref="F2:F3"/>
    <mergeCell ref="G2:H2"/>
    <mergeCell ref="I2:Q3"/>
    <mergeCell ref="M11:O11"/>
    <mergeCell ref="C19:C20"/>
    <mergeCell ref="D19:D20"/>
    <mergeCell ref="E19:E20"/>
    <mergeCell ref="F19:F20"/>
    <mergeCell ref="G19:G20"/>
    <mergeCell ref="H19:H20"/>
    <mergeCell ref="M19:O19"/>
    <mergeCell ref="C11:C18"/>
    <mergeCell ref="D11:D18"/>
    <mergeCell ref="E11:E18"/>
    <mergeCell ref="F11:F17"/>
    <mergeCell ref="G11:G18"/>
    <mergeCell ref="H11:H18"/>
    <mergeCell ref="M21:O21"/>
    <mergeCell ref="C27:C33"/>
    <mergeCell ref="D27:D33"/>
    <mergeCell ref="E27:E33"/>
    <mergeCell ref="F27:F32"/>
    <mergeCell ref="G27:G33"/>
    <mergeCell ref="H27:H33"/>
    <mergeCell ref="C21:C26"/>
    <mergeCell ref="D21:D26"/>
    <mergeCell ref="E21:E26"/>
    <mergeCell ref="F21:F26"/>
    <mergeCell ref="G21:G26"/>
    <mergeCell ref="H21:H26"/>
    <mergeCell ref="M35:O35"/>
    <mergeCell ref="C38:C40"/>
    <mergeCell ref="D38:D40"/>
    <mergeCell ref="E38:E40"/>
    <mergeCell ref="G38:G40"/>
    <mergeCell ref="H38:H40"/>
    <mergeCell ref="M38:O38"/>
    <mergeCell ref="C35:C37"/>
    <mergeCell ref="D35:D37"/>
    <mergeCell ref="E35:E37"/>
    <mergeCell ref="F35:F37"/>
    <mergeCell ref="G35:G37"/>
    <mergeCell ref="H35:H37"/>
    <mergeCell ref="M41:O41"/>
    <mergeCell ref="C47:C48"/>
    <mergeCell ref="D47:D48"/>
    <mergeCell ref="E47:E48"/>
    <mergeCell ref="F47:F48"/>
    <mergeCell ref="G47:G48"/>
    <mergeCell ref="H47:H48"/>
    <mergeCell ref="C41:C45"/>
    <mergeCell ref="D41:D45"/>
    <mergeCell ref="E41:E45"/>
    <mergeCell ref="F41:F45"/>
    <mergeCell ref="G41:G45"/>
    <mergeCell ref="H41:H45"/>
    <mergeCell ref="M49:O49"/>
    <mergeCell ref="C56:C59"/>
    <mergeCell ref="D56:D59"/>
    <mergeCell ref="E56:E59"/>
    <mergeCell ref="F56:F59"/>
    <mergeCell ref="G56:G59"/>
    <mergeCell ref="H56:H59"/>
    <mergeCell ref="M56:O56"/>
    <mergeCell ref="C49:C55"/>
    <mergeCell ref="D49:D55"/>
    <mergeCell ref="E49:E55"/>
    <mergeCell ref="F49:F55"/>
    <mergeCell ref="G49:G55"/>
    <mergeCell ref="H49:H55"/>
    <mergeCell ref="M60:O60"/>
    <mergeCell ref="C65:C72"/>
    <mergeCell ref="D65:D72"/>
    <mergeCell ref="E65:E72"/>
    <mergeCell ref="G65:G72"/>
    <mergeCell ref="H65:H72"/>
    <mergeCell ref="M65:O65"/>
    <mergeCell ref="C60:C64"/>
    <mergeCell ref="D60:D64"/>
    <mergeCell ref="E60:E64"/>
    <mergeCell ref="F60:F63"/>
    <mergeCell ref="G60:G64"/>
    <mergeCell ref="H60:H64"/>
    <mergeCell ref="M73:O73"/>
    <mergeCell ref="B76:C76"/>
    <mergeCell ref="C77:C78"/>
    <mergeCell ref="D77:D78"/>
    <mergeCell ref="E77:E78"/>
    <mergeCell ref="F77:F78"/>
    <mergeCell ref="G77:G78"/>
    <mergeCell ref="H77:H78"/>
    <mergeCell ref="C73:C75"/>
    <mergeCell ref="D73:D75"/>
    <mergeCell ref="E73:E75"/>
    <mergeCell ref="F73:F75"/>
    <mergeCell ref="G73:G75"/>
    <mergeCell ref="H73:H75"/>
    <mergeCell ref="C81:C83"/>
    <mergeCell ref="D81:D83"/>
    <mergeCell ref="E81:E83"/>
    <mergeCell ref="F81:F83"/>
    <mergeCell ref="G81:G83"/>
    <mergeCell ref="H81:H83"/>
    <mergeCell ref="C79:C80"/>
    <mergeCell ref="D79:D80"/>
    <mergeCell ref="E79:E80"/>
    <mergeCell ref="F79:F80"/>
    <mergeCell ref="G79:G80"/>
    <mergeCell ref="H79:H80"/>
    <mergeCell ref="B84:C84"/>
    <mergeCell ref="B85:B87"/>
    <mergeCell ref="M85:O85"/>
    <mergeCell ref="C86:C88"/>
    <mergeCell ref="D86:D88"/>
    <mergeCell ref="E86:E88"/>
    <mergeCell ref="F86:F88"/>
    <mergeCell ref="G86:G88"/>
    <mergeCell ref="H86:H88"/>
    <mergeCell ref="M86:O86"/>
    <mergeCell ref="M89:O89"/>
    <mergeCell ref="C94:C97"/>
    <mergeCell ref="D94:D97"/>
    <mergeCell ref="E94:E97"/>
    <mergeCell ref="F94:F97"/>
    <mergeCell ref="G94:G97"/>
    <mergeCell ref="H94:H97"/>
    <mergeCell ref="M94:O94"/>
    <mergeCell ref="C89:C93"/>
    <mergeCell ref="D89:D93"/>
    <mergeCell ref="E89:E93"/>
    <mergeCell ref="F89:F93"/>
    <mergeCell ref="G89:G93"/>
    <mergeCell ref="H89:H93"/>
    <mergeCell ref="M98:O98"/>
    <mergeCell ref="M100:O100"/>
    <mergeCell ref="C101:C103"/>
    <mergeCell ref="D101:D103"/>
    <mergeCell ref="E101:E103"/>
    <mergeCell ref="F101:F102"/>
    <mergeCell ref="G101:G103"/>
    <mergeCell ref="H101:H103"/>
    <mergeCell ref="M101:O101"/>
    <mergeCell ref="C98:C99"/>
    <mergeCell ref="D98:D99"/>
    <mergeCell ref="E98:E99"/>
    <mergeCell ref="F98:F99"/>
    <mergeCell ref="G98:G99"/>
    <mergeCell ref="H98:H99"/>
    <mergeCell ref="M104:O104"/>
    <mergeCell ref="C107:C111"/>
    <mergeCell ref="D107:D111"/>
    <mergeCell ref="E107:E111"/>
    <mergeCell ref="F107:F111"/>
    <mergeCell ref="G107:G111"/>
    <mergeCell ref="H107:H111"/>
    <mergeCell ref="M107:O107"/>
    <mergeCell ref="C104:C106"/>
    <mergeCell ref="D104:D106"/>
    <mergeCell ref="E104:E106"/>
    <mergeCell ref="F104:F106"/>
    <mergeCell ref="G104:G106"/>
    <mergeCell ref="H104:H106"/>
    <mergeCell ref="M112:O112"/>
    <mergeCell ref="C116:C118"/>
    <mergeCell ref="D116:D118"/>
    <mergeCell ref="E116:E118"/>
    <mergeCell ref="F116:F118"/>
    <mergeCell ref="G116:G118"/>
    <mergeCell ref="H116:H118"/>
    <mergeCell ref="M116:O116"/>
    <mergeCell ref="C112:C114"/>
    <mergeCell ref="D112:D114"/>
    <mergeCell ref="E112:E114"/>
    <mergeCell ref="F112:F114"/>
    <mergeCell ref="G112:G114"/>
    <mergeCell ref="H112:H114"/>
    <mergeCell ref="M119:O119"/>
    <mergeCell ref="B121:B123"/>
    <mergeCell ref="C122:C126"/>
    <mergeCell ref="D122:D126"/>
    <mergeCell ref="E122:E126"/>
    <mergeCell ref="F122:F126"/>
    <mergeCell ref="G122:G126"/>
    <mergeCell ref="H122:H126"/>
    <mergeCell ref="M122:O122"/>
    <mergeCell ref="C119:C120"/>
    <mergeCell ref="D119:D120"/>
    <mergeCell ref="E119:E120"/>
    <mergeCell ref="F119:F120"/>
    <mergeCell ref="G119:G120"/>
    <mergeCell ref="H119:H120"/>
    <mergeCell ref="M127:O127"/>
    <mergeCell ref="C130:C131"/>
    <mergeCell ref="D130:D131"/>
    <mergeCell ref="E130:E131"/>
    <mergeCell ref="F130:F131"/>
    <mergeCell ref="G130:G131"/>
    <mergeCell ref="H130:H131"/>
    <mergeCell ref="M130:O130"/>
    <mergeCell ref="C127:C129"/>
    <mergeCell ref="D127:D129"/>
    <mergeCell ref="E127:E129"/>
    <mergeCell ref="F127:F129"/>
    <mergeCell ref="G127:G129"/>
    <mergeCell ref="H127:H129"/>
    <mergeCell ref="M132:O132"/>
    <mergeCell ref="C134:C135"/>
    <mergeCell ref="D134:D135"/>
    <mergeCell ref="E134:E135"/>
    <mergeCell ref="F134:F135"/>
    <mergeCell ref="G134:G135"/>
    <mergeCell ref="H134:H135"/>
    <mergeCell ref="M134:O134"/>
    <mergeCell ref="C132:C133"/>
    <mergeCell ref="D132:D133"/>
    <mergeCell ref="E132:E133"/>
    <mergeCell ref="F132:F133"/>
    <mergeCell ref="G132:G133"/>
    <mergeCell ref="H132:H133"/>
    <mergeCell ref="M137:O137"/>
    <mergeCell ref="C147:C150"/>
    <mergeCell ref="D147:D150"/>
    <mergeCell ref="E147:E150"/>
    <mergeCell ref="F147:F150"/>
    <mergeCell ref="G147:G150"/>
    <mergeCell ref="H147:H150"/>
    <mergeCell ref="M147:O147"/>
    <mergeCell ref="C137:C145"/>
    <mergeCell ref="D137:D145"/>
    <mergeCell ref="E137:E145"/>
    <mergeCell ref="F137:F144"/>
    <mergeCell ref="G137:G145"/>
    <mergeCell ref="H137:H145"/>
    <mergeCell ref="C161:C162"/>
    <mergeCell ref="D161:D162"/>
    <mergeCell ref="E161:E162"/>
    <mergeCell ref="G161:G162"/>
    <mergeCell ref="H161:H162"/>
    <mergeCell ref="M161:O161"/>
    <mergeCell ref="M152:O152"/>
    <mergeCell ref="C155:C160"/>
    <mergeCell ref="D155:D160"/>
    <mergeCell ref="E155:E160"/>
    <mergeCell ref="F155:F156"/>
    <mergeCell ref="G155:G160"/>
    <mergeCell ref="H155:H160"/>
    <mergeCell ref="M155:O155"/>
    <mergeCell ref="C152:C154"/>
    <mergeCell ref="D152:D154"/>
    <mergeCell ref="E152:E154"/>
    <mergeCell ref="F152:F154"/>
    <mergeCell ref="G152:G154"/>
    <mergeCell ref="H152:H154"/>
    <mergeCell ref="M163:O163"/>
    <mergeCell ref="C164:C193"/>
    <mergeCell ref="D164:D193"/>
    <mergeCell ref="E164:E193"/>
    <mergeCell ref="F164:F191"/>
    <mergeCell ref="G164:G193"/>
    <mergeCell ref="H164:H193"/>
    <mergeCell ref="M164:O164"/>
    <mergeCell ref="I175:N175"/>
    <mergeCell ref="I188:J188"/>
    <mergeCell ref="M194:O194"/>
    <mergeCell ref="C197:C199"/>
    <mergeCell ref="D197:D199"/>
    <mergeCell ref="E197:E199"/>
    <mergeCell ref="F197:F199"/>
    <mergeCell ref="G197:G199"/>
    <mergeCell ref="H197:H199"/>
    <mergeCell ref="M197:O197"/>
    <mergeCell ref="C194:C196"/>
    <mergeCell ref="D194:D196"/>
    <mergeCell ref="E194:E196"/>
    <mergeCell ref="F194:F196"/>
    <mergeCell ref="G194:G196"/>
    <mergeCell ref="H194:H196"/>
    <mergeCell ref="M201:O201"/>
    <mergeCell ref="C207:C210"/>
    <mergeCell ref="D207:D210"/>
    <mergeCell ref="E207:E210"/>
    <mergeCell ref="F207:F210"/>
    <mergeCell ref="G207:G210"/>
    <mergeCell ref="H207:H210"/>
    <mergeCell ref="M207:O207"/>
    <mergeCell ref="C201:C206"/>
    <mergeCell ref="D201:D206"/>
    <mergeCell ref="E201:E206"/>
    <mergeCell ref="F201:F206"/>
    <mergeCell ref="G201:G206"/>
    <mergeCell ref="H201:H206"/>
    <mergeCell ref="M211:O211"/>
    <mergeCell ref="C214:C218"/>
    <mergeCell ref="D214:D218"/>
    <mergeCell ref="E214:E218"/>
    <mergeCell ref="F214:F218"/>
    <mergeCell ref="G214:G218"/>
    <mergeCell ref="H214:H218"/>
    <mergeCell ref="M214:O214"/>
    <mergeCell ref="C211:C212"/>
    <mergeCell ref="D211:D212"/>
    <mergeCell ref="E211:E212"/>
    <mergeCell ref="F211:F212"/>
    <mergeCell ref="G211:G212"/>
    <mergeCell ref="H211:H212"/>
    <mergeCell ref="C229:C230"/>
    <mergeCell ref="D229:D230"/>
    <mergeCell ref="E229:E230"/>
    <mergeCell ref="G229:G230"/>
    <mergeCell ref="H229:H230"/>
    <mergeCell ref="M229:O229"/>
    <mergeCell ref="M219:O219"/>
    <mergeCell ref="C223:C228"/>
    <mergeCell ref="D223:D228"/>
    <mergeCell ref="E223:E228"/>
    <mergeCell ref="F223:F227"/>
    <mergeCell ref="G223:G228"/>
    <mergeCell ref="H223:H228"/>
    <mergeCell ref="M223:O223"/>
    <mergeCell ref="C219:C222"/>
    <mergeCell ref="D219:D222"/>
    <mergeCell ref="E219:E222"/>
    <mergeCell ref="F219:F222"/>
    <mergeCell ref="G219:G222"/>
    <mergeCell ref="H219:H222"/>
    <mergeCell ref="M232:O232"/>
    <mergeCell ref="C235:C239"/>
    <mergeCell ref="D235:D239"/>
    <mergeCell ref="E235:E239"/>
    <mergeCell ref="F235:F239"/>
    <mergeCell ref="G235:G239"/>
    <mergeCell ref="H235:H239"/>
    <mergeCell ref="M235:O235"/>
    <mergeCell ref="C232:C234"/>
    <mergeCell ref="D232:D234"/>
    <mergeCell ref="E232:E234"/>
    <mergeCell ref="F232:F234"/>
    <mergeCell ref="G232:G234"/>
    <mergeCell ref="H232:H234"/>
    <mergeCell ref="M241:O241"/>
    <mergeCell ref="C248:C251"/>
    <mergeCell ref="D248:D251"/>
    <mergeCell ref="E248:E251"/>
    <mergeCell ref="F248:F251"/>
    <mergeCell ref="G248:G251"/>
    <mergeCell ref="H248:H251"/>
    <mergeCell ref="M248:O248"/>
    <mergeCell ref="C241:C247"/>
    <mergeCell ref="D241:D247"/>
    <mergeCell ref="E241:E247"/>
    <mergeCell ref="F241:F245"/>
    <mergeCell ref="G241:G247"/>
    <mergeCell ref="H241:H247"/>
    <mergeCell ref="M252:O252"/>
    <mergeCell ref="C256:C257"/>
    <mergeCell ref="D256:D257"/>
    <mergeCell ref="E256:E257"/>
    <mergeCell ref="F256:F257"/>
    <mergeCell ref="G256:G257"/>
    <mergeCell ref="H256:H257"/>
    <mergeCell ref="M256:O256"/>
    <mergeCell ref="C252:C255"/>
    <mergeCell ref="D252:D255"/>
    <mergeCell ref="E252:E255"/>
    <mergeCell ref="F252:F255"/>
    <mergeCell ref="G252:G255"/>
    <mergeCell ref="H252:H255"/>
    <mergeCell ref="M259:O259"/>
    <mergeCell ref="C264:C268"/>
    <mergeCell ref="D264:D268"/>
    <mergeCell ref="E264:E268"/>
    <mergeCell ref="F264:F268"/>
    <mergeCell ref="G264:G268"/>
    <mergeCell ref="H264:H268"/>
    <mergeCell ref="M264:O264"/>
    <mergeCell ref="C259:C263"/>
    <mergeCell ref="D259:D263"/>
    <mergeCell ref="E259:E263"/>
    <mergeCell ref="F259:F263"/>
    <mergeCell ref="G259:G263"/>
    <mergeCell ref="H259:H263"/>
    <mergeCell ref="M270:O270"/>
    <mergeCell ref="C277:C280"/>
    <mergeCell ref="D277:D280"/>
    <mergeCell ref="E277:E280"/>
    <mergeCell ref="F277:F280"/>
    <mergeCell ref="G277:G280"/>
    <mergeCell ref="H277:H280"/>
    <mergeCell ref="M277:O277"/>
    <mergeCell ref="C270:C276"/>
    <mergeCell ref="D270:D276"/>
    <mergeCell ref="E270:E276"/>
    <mergeCell ref="F270:F276"/>
    <mergeCell ref="G270:G276"/>
    <mergeCell ref="H270:H276"/>
    <mergeCell ref="M281:O281"/>
    <mergeCell ref="C290:C293"/>
    <mergeCell ref="D290:D293"/>
    <mergeCell ref="E290:E293"/>
    <mergeCell ref="F290:F293"/>
    <mergeCell ref="G290:G293"/>
    <mergeCell ref="H290:H293"/>
    <mergeCell ref="M290:O290"/>
    <mergeCell ref="C281:C289"/>
    <mergeCell ref="D281:D289"/>
    <mergeCell ref="E281:E289"/>
    <mergeCell ref="F281:F289"/>
    <mergeCell ref="G281:G289"/>
    <mergeCell ref="H281:H289"/>
    <mergeCell ref="M295:O295"/>
    <mergeCell ref="B297:C297"/>
    <mergeCell ref="C298:C300"/>
    <mergeCell ref="D298:D300"/>
    <mergeCell ref="E298:E300"/>
    <mergeCell ref="G298:G300"/>
    <mergeCell ref="H298:H300"/>
    <mergeCell ref="M298:O298"/>
    <mergeCell ref="C295:C296"/>
    <mergeCell ref="D295:D296"/>
    <mergeCell ref="E295:E296"/>
    <mergeCell ref="F295:F296"/>
    <mergeCell ref="G295:G296"/>
    <mergeCell ref="H295:H296"/>
    <mergeCell ref="M302:O302"/>
    <mergeCell ref="C304:C305"/>
    <mergeCell ref="D304:D305"/>
    <mergeCell ref="E304:E305"/>
    <mergeCell ref="F304:F305"/>
    <mergeCell ref="G304:G305"/>
    <mergeCell ref="H304:H305"/>
    <mergeCell ref="M304:O304"/>
    <mergeCell ref="B301:C301"/>
    <mergeCell ref="C302:C303"/>
    <mergeCell ref="D302:D303"/>
    <mergeCell ref="E302:E303"/>
    <mergeCell ref="G302:G303"/>
    <mergeCell ref="H302:H303"/>
    <mergeCell ref="G385:G388"/>
    <mergeCell ref="H385:H388"/>
    <mergeCell ref="C389:C390"/>
    <mergeCell ref="D389:D390"/>
    <mergeCell ref="E389:E390"/>
    <mergeCell ref="G389:G390"/>
    <mergeCell ref="H389:H390"/>
    <mergeCell ref="B306:C306"/>
    <mergeCell ref="B384:C384"/>
    <mergeCell ref="B385:B390"/>
    <mergeCell ref="C385:C388"/>
    <mergeCell ref="D385:D388"/>
    <mergeCell ref="E385:E388"/>
  </mergeCells>
  <phoneticPr fontId="1" type="noConversion"/>
  <pageMargins left="0.11811023622047245" right="0.11811023622047245" top="0.43307086614173229" bottom="0.39370078740157483" header="0.31496062992125984" footer="0.19685039370078741"/>
  <pageSetup paperSize="9" scale="79" firstPageNumber="5" fitToWidth="14" fitToHeight="14" orientation="landscape" useFirstPageNumber="1" r:id="rId1"/>
  <headerFooter>
    <oddFooter>&amp;C&amp;P</oddFooter>
  </headerFooter>
  <rowBreaks count="11" manualBreakCount="11">
    <brk id="37" max="16" man="1"/>
    <brk id="75" max="16" man="1"/>
    <brk id="111" max="16" man="1"/>
    <brk id="145" max="16" man="1"/>
    <brk id="180" max="16" man="1"/>
    <brk id="212" max="16" man="1"/>
    <brk id="247" max="16" man="1"/>
    <brk id="280" max="16" man="1"/>
    <brk id="315" max="16" man="1"/>
    <brk id="383" max="16" man="1"/>
    <brk id="390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세입명세서</vt:lpstr>
      <vt:lpstr>세출명세서</vt:lpstr>
      <vt:lpstr>세입명세서!Print_Area</vt:lpstr>
      <vt:lpstr>세출명세서!Print_Area</vt:lpstr>
      <vt:lpstr>세입명세서!Print_Titles</vt:lpstr>
      <vt:lpstr>세출명세서!Print_Titles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정경애</dc:creator>
  <cp:lastModifiedBy>정경애</cp:lastModifiedBy>
  <cp:lastPrinted>2018-11-05T02:21:33Z</cp:lastPrinted>
  <dcterms:created xsi:type="dcterms:W3CDTF">2018-11-05T02:20:26Z</dcterms:created>
  <dcterms:modified xsi:type="dcterms:W3CDTF">2018-11-19T01:41:26Z</dcterms:modified>
</cp:coreProperties>
</file>