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20" windowWidth="38640" windowHeight="13740" activeTab="2"/>
  </bookViews>
  <sheets>
    <sheet name="예산총칙" sheetId="2" r:id="rId1"/>
    <sheet name="세입명세서" sheetId="6" r:id="rId2"/>
    <sheet name="세출명세서" sheetId="7" r:id="rId3"/>
  </sheets>
  <definedNames>
    <definedName name="_xlnm.Print_Area" localSheetId="1">세입명세서!$A$1:$Q$89</definedName>
    <definedName name="_xlnm.Print_Area" localSheetId="2">세출명세서!$A$1:$Q$328</definedName>
    <definedName name="_xlnm.Print_Area" localSheetId="0">예산총칙!$A$1:$P$24</definedName>
    <definedName name="_xlnm.Print_Titles" localSheetId="1">세입명세서!$4:$5</definedName>
    <definedName name="_xlnm.Print_Titles" localSheetId="2">세출명세서!$3:$4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6" i="7" l="1"/>
  <c r="P225" i="7" l="1"/>
  <c r="P226" i="7"/>
  <c r="P227" i="7"/>
  <c r="P228" i="7"/>
  <c r="P229" i="7"/>
  <c r="P230" i="7"/>
  <c r="P231" i="7"/>
  <c r="P232" i="7"/>
  <c r="P233" i="7"/>
  <c r="P234" i="7"/>
  <c r="P235" i="7"/>
  <c r="P236" i="7"/>
  <c r="P237" i="7"/>
  <c r="P238" i="7"/>
  <c r="P239" i="7"/>
  <c r="P240" i="7"/>
  <c r="P241" i="7"/>
  <c r="P242" i="7"/>
  <c r="P243" i="7"/>
  <c r="P244" i="7"/>
  <c r="P245" i="7"/>
  <c r="P246" i="7"/>
  <c r="P247" i="7"/>
  <c r="P248" i="7"/>
  <c r="P249" i="7"/>
  <c r="P250" i="7"/>
  <c r="P251" i="7"/>
  <c r="P252" i="7"/>
  <c r="P253" i="7"/>
  <c r="P254" i="7"/>
  <c r="P255" i="7"/>
  <c r="P256" i="7"/>
  <c r="P257" i="7"/>
  <c r="P258" i="7"/>
  <c r="P259" i="7"/>
  <c r="P260" i="7"/>
  <c r="P261" i="7"/>
  <c r="P262" i="7"/>
  <c r="P263" i="7"/>
  <c r="P264" i="7"/>
  <c r="P265" i="7"/>
  <c r="P266" i="7"/>
  <c r="P267" i="7"/>
  <c r="P268" i="7"/>
  <c r="P269" i="7"/>
  <c r="P270" i="7"/>
  <c r="P271" i="7"/>
  <c r="P272" i="7"/>
  <c r="P273" i="7"/>
  <c r="P274" i="7"/>
  <c r="P275" i="7"/>
  <c r="P276" i="7"/>
  <c r="P277" i="7"/>
  <c r="P278" i="7"/>
  <c r="P279" i="7"/>
  <c r="P280" i="7"/>
  <c r="P281" i="7"/>
  <c r="P282" i="7"/>
  <c r="P283" i="7"/>
  <c r="P284" i="7"/>
  <c r="P285" i="7"/>
  <c r="P286" i="7"/>
  <c r="P287" i="7"/>
  <c r="P288" i="7"/>
  <c r="P289" i="7"/>
  <c r="P290" i="7"/>
  <c r="P291" i="7"/>
  <c r="P292" i="7"/>
  <c r="P293" i="7"/>
  <c r="P294" i="7"/>
  <c r="P295" i="7"/>
  <c r="P296" i="7"/>
  <c r="P297" i="7"/>
  <c r="P298" i="7"/>
  <c r="P299" i="7"/>
  <c r="P300" i="7"/>
  <c r="P301" i="7"/>
  <c r="P302" i="7"/>
  <c r="P303" i="7"/>
  <c r="P304" i="7"/>
  <c r="P305" i="7"/>
  <c r="P306" i="7"/>
  <c r="P307" i="7"/>
  <c r="P308" i="7"/>
  <c r="P309" i="7"/>
  <c r="P310" i="7"/>
  <c r="P311" i="7"/>
  <c r="P312" i="7"/>
  <c r="P313" i="7"/>
  <c r="P314" i="7"/>
  <c r="P315" i="7"/>
  <c r="P316" i="7"/>
  <c r="P317" i="7"/>
  <c r="P224" i="7"/>
  <c r="H171" i="7" l="1"/>
  <c r="P91" i="7" l="1"/>
  <c r="P203" i="7" l="1"/>
  <c r="P15" i="6" l="1"/>
  <c r="P191" i="7" l="1"/>
  <c r="P28" i="6" l="1"/>
  <c r="P169" i="7"/>
  <c r="P168" i="7"/>
  <c r="P136" i="7" l="1"/>
  <c r="P134" i="7" l="1"/>
  <c r="P39" i="7" l="1"/>
  <c r="D165" i="7" l="1"/>
  <c r="E313" i="7" l="1"/>
  <c r="P27" i="6" l="1"/>
  <c r="P26" i="6"/>
  <c r="P25" i="6" l="1"/>
  <c r="P173" i="7"/>
  <c r="P172" i="7"/>
  <c r="P171" i="7"/>
  <c r="P143" i="7"/>
  <c r="P142" i="7"/>
  <c r="P138" i="7"/>
  <c r="P137" i="7" s="1"/>
  <c r="E137" i="7" s="1"/>
  <c r="P133" i="7"/>
  <c r="P135" i="7"/>
  <c r="P127" i="7"/>
  <c r="P128" i="7"/>
  <c r="P129" i="7"/>
  <c r="P126" i="7"/>
  <c r="G137" i="7" l="1"/>
  <c r="H137" i="7" s="1"/>
  <c r="P170" i="7"/>
  <c r="E170" i="7" s="1"/>
  <c r="P141" i="7"/>
  <c r="E141" i="7" s="1"/>
  <c r="P125" i="7"/>
  <c r="E125" i="7" s="1"/>
  <c r="P132" i="7"/>
  <c r="E132" i="7" s="1"/>
  <c r="P328" i="7"/>
  <c r="P326" i="7"/>
  <c r="P325" i="7"/>
  <c r="P324" i="7"/>
  <c r="P322" i="7"/>
  <c r="P321" i="7"/>
  <c r="P320" i="7"/>
  <c r="F318" i="7"/>
  <c r="D318" i="7"/>
  <c r="E317" i="7"/>
  <c r="G317" i="7" s="1"/>
  <c r="H317" i="7" s="1"/>
  <c r="E316" i="7"/>
  <c r="G316" i="7" s="1"/>
  <c r="H316" i="7" s="1"/>
  <c r="E315" i="7"/>
  <c r="G315" i="7" s="1"/>
  <c r="H315" i="7" s="1"/>
  <c r="E314" i="7"/>
  <c r="G314" i="7" s="1"/>
  <c r="H314" i="7" s="1"/>
  <c r="G313" i="7"/>
  <c r="H313" i="7" s="1"/>
  <c r="E312" i="7"/>
  <c r="G312" i="7" s="1"/>
  <c r="H312" i="7" s="1"/>
  <c r="E311" i="7"/>
  <c r="G311" i="7" s="1"/>
  <c r="H311" i="7" s="1"/>
  <c r="E310" i="7"/>
  <c r="G310" i="7" s="1"/>
  <c r="H310" i="7" s="1"/>
  <c r="E309" i="7"/>
  <c r="G309" i="7" s="1"/>
  <c r="H309" i="7" s="1"/>
  <c r="E308" i="7"/>
  <c r="G308" i="7" s="1"/>
  <c r="H308" i="7" s="1"/>
  <c r="E307" i="7"/>
  <c r="G307" i="7" s="1"/>
  <c r="H307" i="7" s="1"/>
  <c r="E306" i="7"/>
  <c r="G306" i="7" s="1"/>
  <c r="H306" i="7" s="1"/>
  <c r="E305" i="7"/>
  <c r="G305" i="7" s="1"/>
  <c r="H305" i="7" s="1"/>
  <c r="E304" i="7"/>
  <c r="G304" i="7" s="1"/>
  <c r="H304" i="7" s="1"/>
  <c r="E303" i="7"/>
  <c r="G303" i="7" s="1"/>
  <c r="E302" i="7"/>
  <c r="G302" i="7" s="1"/>
  <c r="H302" i="7" s="1"/>
  <c r="E301" i="7"/>
  <c r="G301" i="7" s="1"/>
  <c r="H301" i="7" s="1"/>
  <c r="E300" i="7"/>
  <c r="G300" i="7" s="1"/>
  <c r="H300" i="7" s="1"/>
  <c r="E299" i="7"/>
  <c r="G299" i="7" s="1"/>
  <c r="H299" i="7" s="1"/>
  <c r="E298" i="7"/>
  <c r="G298" i="7" s="1"/>
  <c r="H298" i="7" s="1"/>
  <c r="E297" i="7"/>
  <c r="G297" i="7" s="1"/>
  <c r="H297" i="7" s="1"/>
  <c r="E296" i="7"/>
  <c r="G296" i="7" s="1"/>
  <c r="H296" i="7" s="1"/>
  <c r="E295" i="7"/>
  <c r="G295" i="7" s="1"/>
  <c r="H295" i="7" s="1"/>
  <c r="E294" i="7"/>
  <c r="G294" i="7" s="1"/>
  <c r="H294" i="7" s="1"/>
  <c r="E293" i="7"/>
  <c r="G293" i="7" s="1"/>
  <c r="H293" i="7" s="1"/>
  <c r="E292" i="7"/>
  <c r="G292" i="7" s="1"/>
  <c r="H292" i="7" s="1"/>
  <c r="E291" i="7"/>
  <c r="G291" i="7" s="1"/>
  <c r="H291" i="7" s="1"/>
  <c r="E290" i="7"/>
  <c r="G290" i="7" s="1"/>
  <c r="H290" i="7" s="1"/>
  <c r="E289" i="7"/>
  <c r="E288" i="7"/>
  <c r="G288" i="7" s="1"/>
  <c r="H288" i="7" s="1"/>
  <c r="E287" i="7"/>
  <c r="G287" i="7" s="1"/>
  <c r="H287" i="7" s="1"/>
  <c r="E286" i="7"/>
  <c r="G286" i="7" s="1"/>
  <c r="H286" i="7" s="1"/>
  <c r="E285" i="7"/>
  <c r="G285" i="7" s="1"/>
  <c r="H285" i="7" s="1"/>
  <c r="E284" i="7"/>
  <c r="G284" i="7" s="1"/>
  <c r="H284" i="7" s="1"/>
  <c r="E283" i="7"/>
  <c r="G283" i="7" s="1"/>
  <c r="H283" i="7" s="1"/>
  <c r="E282" i="7"/>
  <c r="G282" i="7" s="1"/>
  <c r="H282" i="7" s="1"/>
  <c r="E281" i="7"/>
  <c r="G281" i="7" s="1"/>
  <c r="H281" i="7" s="1"/>
  <c r="E280" i="7"/>
  <c r="G280" i="7" s="1"/>
  <c r="H280" i="7" s="1"/>
  <c r="E279" i="7"/>
  <c r="G279" i="7" s="1"/>
  <c r="H279" i="7" s="1"/>
  <c r="E278" i="7"/>
  <c r="G278" i="7" s="1"/>
  <c r="H278" i="7" s="1"/>
  <c r="E277" i="7"/>
  <c r="G277" i="7" s="1"/>
  <c r="H277" i="7" s="1"/>
  <c r="E276" i="7"/>
  <c r="G276" i="7" s="1"/>
  <c r="H276" i="7" s="1"/>
  <c r="E275" i="7"/>
  <c r="G275" i="7" s="1"/>
  <c r="H275" i="7" s="1"/>
  <c r="E274" i="7"/>
  <c r="G274" i="7" s="1"/>
  <c r="H274" i="7" s="1"/>
  <c r="E273" i="7"/>
  <c r="E272" i="7"/>
  <c r="G272" i="7" s="1"/>
  <c r="H272" i="7" s="1"/>
  <c r="E271" i="7"/>
  <c r="G271" i="7" s="1"/>
  <c r="H271" i="7" s="1"/>
  <c r="E270" i="7"/>
  <c r="G270" i="7" s="1"/>
  <c r="H270" i="7" s="1"/>
  <c r="E269" i="7"/>
  <c r="G269" i="7" s="1"/>
  <c r="H269" i="7" s="1"/>
  <c r="E268" i="7"/>
  <c r="G268" i="7" s="1"/>
  <c r="H268" i="7" s="1"/>
  <c r="E267" i="7"/>
  <c r="G267" i="7" s="1"/>
  <c r="H267" i="7" s="1"/>
  <c r="E266" i="7"/>
  <c r="G266" i="7" s="1"/>
  <c r="H266" i="7" s="1"/>
  <c r="E265" i="7"/>
  <c r="G265" i="7" s="1"/>
  <c r="H265" i="7" s="1"/>
  <c r="E264" i="7"/>
  <c r="E263" i="7"/>
  <c r="G263" i="7" s="1"/>
  <c r="H263" i="7" s="1"/>
  <c r="E262" i="7"/>
  <c r="G262" i="7" s="1"/>
  <c r="H262" i="7" s="1"/>
  <c r="E261" i="7"/>
  <c r="G261" i="7" s="1"/>
  <c r="H261" i="7" s="1"/>
  <c r="E260" i="7"/>
  <c r="G260" i="7" s="1"/>
  <c r="H260" i="7" s="1"/>
  <c r="E259" i="7"/>
  <c r="G259" i="7" s="1"/>
  <c r="H259" i="7" s="1"/>
  <c r="E258" i="7"/>
  <c r="G258" i="7" s="1"/>
  <c r="H258" i="7" s="1"/>
  <c r="E257" i="7"/>
  <c r="G257" i="7" s="1"/>
  <c r="H257" i="7" s="1"/>
  <c r="E256" i="7"/>
  <c r="G256" i="7" s="1"/>
  <c r="H256" i="7" s="1"/>
  <c r="E255" i="7"/>
  <c r="G255" i="7" s="1"/>
  <c r="H255" i="7" s="1"/>
  <c r="E254" i="7"/>
  <c r="G254" i="7" s="1"/>
  <c r="H254" i="7" s="1"/>
  <c r="E253" i="7"/>
  <c r="G253" i="7" s="1"/>
  <c r="H253" i="7" s="1"/>
  <c r="E252" i="7"/>
  <c r="G252" i="7" s="1"/>
  <c r="H252" i="7" s="1"/>
  <c r="E251" i="7"/>
  <c r="G251" i="7" s="1"/>
  <c r="H251" i="7" s="1"/>
  <c r="E250" i="7"/>
  <c r="G250" i="7" s="1"/>
  <c r="H250" i="7" s="1"/>
  <c r="E249" i="7"/>
  <c r="G249" i="7" s="1"/>
  <c r="H249" i="7" s="1"/>
  <c r="E248" i="7"/>
  <c r="G248" i="7" s="1"/>
  <c r="H248" i="7" s="1"/>
  <c r="E247" i="7"/>
  <c r="G247" i="7" s="1"/>
  <c r="H247" i="7" s="1"/>
  <c r="E246" i="7"/>
  <c r="G246" i="7" s="1"/>
  <c r="H246" i="7" s="1"/>
  <c r="E245" i="7"/>
  <c r="G245" i="7" s="1"/>
  <c r="H245" i="7" s="1"/>
  <c r="E244" i="7"/>
  <c r="G244" i="7" s="1"/>
  <c r="H244" i="7" s="1"/>
  <c r="E243" i="7"/>
  <c r="G243" i="7" s="1"/>
  <c r="H243" i="7" s="1"/>
  <c r="F242" i="7"/>
  <c r="F223" i="7" s="1"/>
  <c r="E242" i="7"/>
  <c r="G242" i="7" s="1"/>
  <c r="H242" i="7" s="1"/>
  <c r="E241" i="7"/>
  <c r="G241" i="7" s="1"/>
  <c r="H241" i="7" s="1"/>
  <c r="E240" i="7"/>
  <c r="G240" i="7" s="1"/>
  <c r="H240" i="7" s="1"/>
  <c r="E239" i="7"/>
  <c r="G239" i="7" s="1"/>
  <c r="H239" i="7" s="1"/>
  <c r="E238" i="7"/>
  <c r="G238" i="7" s="1"/>
  <c r="H238" i="7" s="1"/>
  <c r="E237" i="7"/>
  <c r="G237" i="7" s="1"/>
  <c r="H237" i="7" s="1"/>
  <c r="E236" i="7"/>
  <c r="G236" i="7" s="1"/>
  <c r="H236" i="7" s="1"/>
  <c r="E235" i="7"/>
  <c r="G235" i="7" s="1"/>
  <c r="H235" i="7" s="1"/>
  <c r="E234" i="7"/>
  <c r="G234" i="7" s="1"/>
  <c r="H234" i="7" s="1"/>
  <c r="E233" i="7"/>
  <c r="G233" i="7" s="1"/>
  <c r="H233" i="7" s="1"/>
  <c r="E232" i="7"/>
  <c r="G232" i="7" s="1"/>
  <c r="H232" i="7" s="1"/>
  <c r="E231" i="7"/>
  <c r="G231" i="7" s="1"/>
  <c r="H231" i="7" s="1"/>
  <c r="E230" i="7"/>
  <c r="G230" i="7" s="1"/>
  <c r="H230" i="7" s="1"/>
  <c r="E229" i="7"/>
  <c r="G229" i="7" s="1"/>
  <c r="H229" i="7" s="1"/>
  <c r="E228" i="7"/>
  <c r="G228" i="7" s="1"/>
  <c r="H228" i="7" s="1"/>
  <c r="E227" i="7"/>
  <c r="G227" i="7" s="1"/>
  <c r="H227" i="7" s="1"/>
  <c r="E226" i="7"/>
  <c r="G226" i="7" s="1"/>
  <c r="H226" i="7" s="1"/>
  <c r="E225" i="7"/>
  <c r="G225" i="7" s="1"/>
  <c r="H225" i="7" s="1"/>
  <c r="E224" i="7"/>
  <c r="G224" i="7" s="1"/>
  <c r="H224" i="7" s="1"/>
  <c r="P223" i="7"/>
  <c r="E223" i="7" s="1"/>
  <c r="D223" i="7"/>
  <c r="P222" i="7"/>
  <c r="D220" i="7"/>
  <c r="P219" i="7"/>
  <c r="P218" i="7"/>
  <c r="F216" i="7"/>
  <c r="D216" i="7"/>
  <c r="P215" i="7"/>
  <c r="P214" i="7"/>
  <c r="P212" i="7"/>
  <c r="P211" i="7"/>
  <c r="P210" i="7"/>
  <c r="P209" i="7"/>
  <c r="P208" i="7"/>
  <c r="P207" i="7"/>
  <c r="F205" i="7"/>
  <c r="D205" i="7"/>
  <c r="P204" i="7"/>
  <c r="P202" i="7"/>
  <c r="P201" i="7"/>
  <c r="P199" i="7"/>
  <c r="P198" i="7"/>
  <c r="F196" i="7"/>
  <c r="D196" i="7"/>
  <c r="P195" i="7"/>
  <c r="P193" i="7"/>
  <c r="P192" i="7"/>
  <c r="P190" i="7"/>
  <c r="P189" i="7"/>
  <c r="F187" i="7"/>
  <c r="D187" i="7"/>
  <c r="P186" i="7"/>
  <c r="P185" i="7"/>
  <c r="P184" i="7"/>
  <c r="D182" i="7"/>
  <c r="P181" i="7"/>
  <c r="G181" i="7"/>
  <c r="H181" i="7" s="1"/>
  <c r="P180" i="7"/>
  <c r="G180" i="7"/>
  <c r="H180" i="7" s="1"/>
  <c r="P178" i="7"/>
  <c r="F176" i="7"/>
  <c r="D176" i="7"/>
  <c r="P175" i="7"/>
  <c r="P174" i="7" s="1"/>
  <c r="P167" i="7"/>
  <c r="G167" i="7"/>
  <c r="H167" i="7" s="1"/>
  <c r="G166" i="7"/>
  <c r="H166" i="7" s="1"/>
  <c r="F165" i="7"/>
  <c r="P164" i="7"/>
  <c r="P163" i="7" s="1"/>
  <c r="E163" i="7" s="1"/>
  <c r="P162" i="7"/>
  <c r="P161" i="7"/>
  <c r="P160" i="7"/>
  <c r="P159" i="7"/>
  <c r="P157" i="7"/>
  <c r="P156" i="7"/>
  <c r="P155" i="7"/>
  <c r="P154" i="7"/>
  <c r="P153" i="7"/>
  <c r="P152" i="7"/>
  <c r="P151" i="7"/>
  <c r="F148" i="7"/>
  <c r="D148" i="7"/>
  <c r="P147" i="7"/>
  <c r="P146" i="7"/>
  <c r="P145" i="7"/>
  <c r="P140" i="7"/>
  <c r="P139" i="7" s="1"/>
  <c r="E139" i="7" s="1"/>
  <c r="P131" i="7"/>
  <c r="P130" i="7" s="1"/>
  <c r="P124" i="7"/>
  <c r="P123" i="7"/>
  <c r="D120" i="7"/>
  <c r="P119" i="7"/>
  <c r="G119" i="7"/>
  <c r="H119" i="7" s="1"/>
  <c r="P118" i="7"/>
  <c r="G118" i="7"/>
  <c r="H118" i="7" s="1"/>
  <c r="P116" i="7"/>
  <c r="P115" i="7"/>
  <c r="P113" i="7"/>
  <c r="P112" i="7"/>
  <c r="P111" i="7"/>
  <c r="P109" i="7"/>
  <c r="P108" i="7"/>
  <c r="G108" i="7"/>
  <c r="H108" i="7" s="1"/>
  <c r="P106" i="7"/>
  <c r="P104" i="7" s="1"/>
  <c r="E104" i="7" s="1"/>
  <c r="G104" i="7" s="1"/>
  <c r="H104" i="7" s="1"/>
  <c r="F103" i="7"/>
  <c r="D103" i="7"/>
  <c r="P102" i="7"/>
  <c r="P101" i="7" s="1"/>
  <c r="E101" i="7" s="1"/>
  <c r="P100" i="7"/>
  <c r="P99" i="7" s="1"/>
  <c r="E99" i="7" s="1"/>
  <c r="P98" i="7"/>
  <c r="G98" i="7"/>
  <c r="H98" i="7" s="1"/>
  <c r="P97" i="7"/>
  <c r="P96" i="7"/>
  <c r="P95" i="7"/>
  <c r="P94" i="7"/>
  <c r="G94" i="7"/>
  <c r="H94" i="7" s="1"/>
  <c r="P92" i="7"/>
  <c r="P90" i="7" s="1"/>
  <c r="P89" i="7"/>
  <c r="G89" i="7"/>
  <c r="H89" i="7" s="1"/>
  <c r="P88" i="7"/>
  <c r="P87" i="7"/>
  <c r="F85" i="7"/>
  <c r="D85" i="7"/>
  <c r="P83" i="7"/>
  <c r="P82" i="7" s="1"/>
  <c r="E82" i="7" s="1"/>
  <c r="P81" i="7"/>
  <c r="P80" i="7" s="1"/>
  <c r="E80" i="7" s="1"/>
  <c r="P79" i="7"/>
  <c r="P78" i="7" s="1"/>
  <c r="F77" i="7"/>
  <c r="D77" i="7"/>
  <c r="P76" i="7"/>
  <c r="G76" i="7"/>
  <c r="H76" i="7" s="1"/>
  <c r="P75" i="7"/>
  <c r="G75" i="7"/>
  <c r="H75" i="7" s="1"/>
  <c r="P73" i="7"/>
  <c r="P72" i="7"/>
  <c r="P71" i="7"/>
  <c r="P70" i="7"/>
  <c r="P69" i="7"/>
  <c r="P68" i="7"/>
  <c r="P66" i="7"/>
  <c r="P65" i="7"/>
  <c r="P64" i="7"/>
  <c r="P62" i="7"/>
  <c r="G62" i="7"/>
  <c r="H62" i="7" s="1"/>
  <c r="P61" i="7"/>
  <c r="G61" i="7"/>
  <c r="H61" i="7" s="1"/>
  <c r="P60" i="7"/>
  <c r="G60" i="7"/>
  <c r="H60" i="7" s="1"/>
  <c r="P58" i="7"/>
  <c r="G58" i="7"/>
  <c r="H58" i="7" s="1"/>
  <c r="P57" i="7"/>
  <c r="P56" i="7"/>
  <c r="G56" i="7"/>
  <c r="H56" i="7" s="1"/>
  <c r="P55" i="7"/>
  <c r="P54" i="7"/>
  <c r="G54" i="7"/>
  <c r="H54" i="7" s="1"/>
  <c r="P53" i="7"/>
  <c r="P51" i="7"/>
  <c r="P50" i="7" s="1"/>
  <c r="G51" i="7"/>
  <c r="H51" i="7" s="1"/>
  <c r="F49" i="7"/>
  <c r="D49" i="7"/>
  <c r="P48" i="7"/>
  <c r="G48" i="7"/>
  <c r="H48" i="7" s="1"/>
  <c r="P47" i="7"/>
  <c r="P46" i="7"/>
  <c r="G46" i="7"/>
  <c r="H46" i="7" s="1"/>
  <c r="P45" i="7"/>
  <c r="P44" i="7"/>
  <c r="G44" i="7"/>
  <c r="H44" i="7" s="1"/>
  <c r="P42" i="7"/>
  <c r="P41" i="7"/>
  <c r="P38" i="7"/>
  <c r="P37" i="7"/>
  <c r="F35" i="7"/>
  <c r="D35" i="7"/>
  <c r="P34" i="7"/>
  <c r="P33" i="7"/>
  <c r="P32" i="7"/>
  <c r="P31" i="7"/>
  <c r="G28" i="7"/>
  <c r="H28" i="7" s="1"/>
  <c r="G27" i="7"/>
  <c r="H27" i="7" s="1"/>
  <c r="G26" i="7"/>
  <c r="H26" i="7" s="1"/>
  <c r="G25" i="7"/>
  <c r="H25" i="7" s="1"/>
  <c r="G24" i="7"/>
  <c r="H24" i="7" s="1"/>
  <c r="G22" i="7"/>
  <c r="H22" i="7" s="1"/>
  <c r="P20" i="7"/>
  <c r="P19" i="7"/>
  <c r="P18" i="7"/>
  <c r="P17" i="7"/>
  <c r="P16" i="7"/>
  <c r="P15" i="7"/>
  <c r="P14" i="7"/>
  <c r="P12" i="7"/>
  <c r="P11" i="7"/>
  <c r="P10" i="7"/>
  <c r="P9" i="7"/>
  <c r="F7" i="7"/>
  <c r="D7" i="7"/>
  <c r="P89" i="6"/>
  <c r="G89" i="6"/>
  <c r="H89" i="6" s="1"/>
  <c r="P88" i="6"/>
  <c r="P87" i="6"/>
  <c r="H87" i="6"/>
  <c r="P85" i="6"/>
  <c r="E85" i="6" s="1"/>
  <c r="P84" i="6"/>
  <c r="E84" i="6" s="1"/>
  <c r="D83" i="6"/>
  <c r="D82" i="6" s="1"/>
  <c r="F82" i="6"/>
  <c r="P81" i="6"/>
  <c r="E81" i="6" s="1"/>
  <c r="P80" i="6"/>
  <c r="E80" i="6" s="1"/>
  <c r="P79" i="6"/>
  <c r="F78" i="6"/>
  <c r="F77" i="6" s="1"/>
  <c r="D78" i="6"/>
  <c r="D77" i="6" s="1"/>
  <c r="P76" i="6"/>
  <c r="P75" i="6"/>
  <c r="P73" i="6"/>
  <c r="G73" i="6"/>
  <c r="P72" i="6"/>
  <c r="P70" i="6"/>
  <c r="P69" i="6"/>
  <c r="P67" i="6"/>
  <c r="G67" i="6"/>
  <c r="P66" i="6"/>
  <c r="G66" i="6"/>
  <c r="F64" i="6"/>
  <c r="F63" i="6" s="1"/>
  <c r="D64" i="6"/>
  <c r="D63" i="6" s="1"/>
  <c r="P62" i="6"/>
  <c r="P61" i="6"/>
  <c r="H61" i="6"/>
  <c r="P60" i="6"/>
  <c r="P59" i="6"/>
  <c r="P58" i="6"/>
  <c r="P57" i="6"/>
  <c r="P56" i="6"/>
  <c r="H56" i="6"/>
  <c r="P55" i="6"/>
  <c r="G55" i="6"/>
  <c r="H55" i="6" s="1"/>
  <c r="P53" i="6"/>
  <c r="P52" i="6"/>
  <c r="G52" i="6"/>
  <c r="F50" i="6"/>
  <c r="D50" i="6"/>
  <c r="P49" i="6"/>
  <c r="P48" i="6"/>
  <c r="P47" i="6"/>
  <c r="P46" i="6"/>
  <c r="P44" i="6"/>
  <c r="P43" i="6"/>
  <c r="P41" i="6"/>
  <c r="P40" i="6"/>
  <c r="P39" i="6"/>
  <c r="P38" i="6"/>
  <c r="P36" i="6"/>
  <c r="P35" i="6" s="1"/>
  <c r="E35" i="6" s="1"/>
  <c r="F34" i="6"/>
  <c r="D34" i="6"/>
  <c r="P32" i="6"/>
  <c r="F30" i="6"/>
  <c r="F29" i="6" s="1"/>
  <c r="D30" i="6"/>
  <c r="D29" i="6" s="1"/>
  <c r="P24" i="6"/>
  <c r="D24" i="6"/>
  <c r="D23" i="6" s="1"/>
  <c r="P22" i="6"/>
  <c r="P21" i="6" s="1"/>
  <c r="P20" i="6"/>
  <c r="P19" i="6"/>
  <c r="P18" i="6"/>
  <c r="P16" i="6"/>
  <c r="P14" i="6"/>
  <c r="P13" i="6"/>
  <c r="P12" i="6"/>
  <c r="P11" i="6"/>
  <c r="P10" i="6"/>
  <c r="F8" i="6"/>
  <c r="F7" i="6" s="1"/>
  <c r="D8" i="6"/>
  <c r="D7" i="6" s="1"/>
  <c r="F6" i="6"/>
  <c r="E21" i="6" l="1"/>
  <c r="G21" i="6" s="1"/>
  <c r="H21" i="6" s="1"/>
  <c r="P36" i="7"/>
  <c r="D84" i="7"/>
  <c r="P165" i="7"/>
  <c r="G170" i="7"/>
  <c r="H170" i="7" s="1"/>
  <c r="G139" i="7"/>
  <c r="H139" i="7" s="1"/>
  <c r="G141" i="7"/>
  <c r="H141" i="7" s="1"/>
  <c r="G132" i="7"/>
  <c r="H132" i="7" s="1"/>
  <c r="G125" i="7"/>
  <c r="H125" i="7" s="1"/>
  <c r="P23" i="6"/>
  <c r="E25" i="6"/>
  <c r="D33" i="6"/>
  <c r="D6" i="6" s="1"/>
  <c r="P31" i="6"/>
  <c r="P30" i="6" s="1"/>
  <c r="P29" i="6" s="1"/>
  <c r="P65" i="6"/>
  <c r="E65" i="6" s="1"/>
  <c r="P71" i="6"/>
  <c r="E71" i="6" s="1"/>
  <c r="P74" i="6"/>
  <c r="E74" i="6" s="1"/>
  <c r="G74" i="6" s="1"/>
  <c r="H74" i="6" s="1"/>
  <c r="G81" i="6"/>
  <c r="H81" i="6" s="1"/>
  <c r="G85" i="6"/>
  <c r="H85" i="6" s="1"/>
  <c r="P86" i="6"/>
  <c r="P83" i="6" s="1"/>
  <c r="P82" i="6" s="1"/>
  <c r="F33" i="6"/>
  <c r="F24" i="6" s="1"/>
  <c r="F23" i="6" s="1"/>
  <c r="P78" i="6"/>
  <c r="P77" i="6" s="1"/>
  <c r="G35" i="6"/>
  <c r="H35" i="6" s="1"/>
  <c r="G80" i="6"/>
  <c r="H80" i="6" s="1"/>
  <c r="G84" i="6"/>
  <c r="H84" i="6" s="1"/>
  <c r="P54" i="6"/>
  <c r="E54" i="6" s="1"/>
  <c r="E79" i="6"/>
  <c r="E78" i="6" s="1"/>
  <c r="P9" i="6"/>
  <c r="E9" i="6" s="1"/>
  <c r="P51" i="6"/>
  <c r="E51" i="6" s="1"/>
  <c r="P68" i="6"/>
  <c r="E68" i="6" s="1"/>
  <c r="P17" i="6"/>
  <c r="E17" i="6" s="1"/>
  <c r="P37" i="6"/>
  <c r="E37" i="6" s="1"/>
  <c r="P45" i="6"/>
  <c r="E45" i="6" s="1"/>
  <c r="E130" i="7"/>
  <c r="P323" i="7"/>
  <c r="E323" i="7" s="1"/>
  <c r="P327" i="7"/>
  <c r="E327" i="7" s="1"/>
  <c r="D6" i="7"/>
  <c r="P197" i="7"/>
  <c r="E197" i="7" s="1"/>
  <c r="P40" i="7"/>
  <c r="E40" i="7" s="1"/>
  <c r="G40" i="7" s="1"/>
  <c r="H40" i="7" s="1"/>
  <c r="G80" i="7"/>
  <c r="H80" i="7" s="1"/>
  <c r="P93" i="7"/>
  <c r="E93" i="7" s="1"/>
  <c r="G93" i="7" s="1"/>
  <c r="H93" i="7" s="1"/>
  <c r="G223" i="7"/>
  <c r="H223" i="7" s="1"/>
  <c r="P43" i="7"/>
  <c r="E43" i="7" s="1"/>
  <c r="G43" i="7" s="1"/>
  <c r="H43" i="7" s="1"/>
  <c r="P117" i="7"/>
  <c r="P179" i="7"/>
  <c r="E179" i="7" s="1"/>
  <c r="P8" i="7"/>
  <c r="P114" i="7"/>
  <c r="P177" i="7"/>
  <c r="E177" i="7" s="1"/>
  <c r="G82" i="7"/>
  <c r="G101" i="7"/>
  <c r="H101" i="7" s="1"/>
  <c r="G99" i="7"/>
  <c r="H99" i="7" s="1"/>
  <c r="E174" i="7"/>
  <c r="P63" i="7"/>
  <c r="E63" i="7" s="1"/>
  <c r="G63" i="7" s="1"/>
  <c r="H63" i="7" s="1"/>
  <c r="F6" i="7"/>
  <c r="P107" i="7"/>
  <c r="P206" i="7"/>
  <c r="E206" i="7" s="1"/>
  <c r="G206" i="7" s="1"/>
  <c r="H206" i="7" s="1"/>
  <c r="P122" i="7"/>
  <c r="P121" i="7" s="1"/>
  <c r="P188" i="7"/>
  <c r="E188" i="7" s="1"/>
  <c r="P42" i="6"/>
  <c r="E42" i="6" s="1"/>
  <c r="P200" i="7"/>
  <c r="E200" i="7" s="1"/>
  <c r="G200" i="7" s="1"/>
  <c r="H200" i="7" s="1"/>
  <c r="G163" i="7"/>
  <c r="H163" i="7" s="1"/>
  <c r="P29" i="7"/>
  <c r="P183" i="7"/>
  <c r="E183" i="7" s="1"/>
  <c r="P319" i="7"/>
  <c r="E319" i="7" s="1"/>
  <c r="P13" i="7"/>
  <c r="P144" i="7"/>
  <c r="E144" i="7" s="1"/>
  <c r="P150" i="7"/>
  <c r="P149" i="7" s="1"/>
  <c r="P59" i="7"/>
  <c r="P86" i="7"/>
  <c r="F84" i="7"/>
  <c r="F5" i="7" s="1"/>
  <c r="P110" i="7"/>
  <c r="E110" i="7" s="1"/>
  <c r="G110" i="7" s="1"/>
  <c r="H110" i="7" s="1"/>
  <c r="P158" i="7"/>
  <c r="E158" i="7" s="1"/>
  <c r="P194" i="7"/>
  <c r="E194" i="7" s="1"/>
  <c r="P213" i="7"/>
  <c r="G273" i="7"/>
  <c r="H273" i="7" s="1"/>
  <c r="G264" i="7"/>
  <c r="H264" i="7" s="1"/>
  <c r="G289" i="7"/>
  <c r="H289" i="7" s="1"/>
  <c r="E50" i="7"/>
  <c r="P52" i="7"/>
  <c r="P74" i="7"/>
  <c r="P67" i="7"/>
  <c r="E78" i="7"/>
  <c r="P77" i="7"/>
  <c r="P217" i="7"/>
  <c r="P221" i="7"/>
  <c r="E8" i="7" l="1"/>
  <c r="G8" i="7" s="1"/>
  <c r="H8" i="7" s="1"/>
  <c r="G71" i="6"/>
  <c r="H71" i="6" s="1"/>
  <c r="G65" i="6"/>
  <c r="H65" i="6" s="1"/>
  <c r="P148" i="7"/>
  <c r="J22" i="7"/>
  <c r="P22" i="7" s="1"/>
  <c r="P21" i="7" s="1"/>
  <c r="E21" i="7" s="1"/>
  <c r="G21" i="7" s="1"/>
  <c r="H21" i="7" s="1"/>
  <c r="P85" i="7"/>
  <c r="G130" i="7"/>
  <c r="H130" i="7" s="1"/>
  <c r="E31" i="6"/>
  <c r="E30" i="6" s="1"/>
  <c r="D5" i="7"/>
  <c r="P176" i="7"/>
  <c r="P182" i="7"/>
  <c r="E182" i="7" s="1"/>
  <c r="G182" i="7" s="1"/>
  <c r="H182" i="7" s="1"/>
  <c r="J24" i="7"/>
  <c r="P24" i="7" s="1"/>
  <c r="E36" i="7"/>
  <c r="E35" i="7" s="1"/>
  <c r="G35" i="7" s="1"/>
  <c r="H35" i="7" s="1"/>
  <c r="E149" i="7"/>
  <c r="E148" i="7" s="1"/>
  <c r="G148" i="7" s="1"/>
  <c r="H148" i="7" s="1"/>
  <c r="P205" i="7"/>
  <c r="E67" i="7"/>
  <c r="G67" i="7" s="1"/>
  <c r="H67" i="7" s="1"/>
  <c r="P196" i="7"/>
  <c r="E24" i="6"/>
  <c r="G25" i="6"/>
  <c r="H25" i="6" s="1"/>
  <c r="P318" i="7"/>
  <c r="E318" i="7" s="1"/>
  <c r="G318" i="7" s="1"/>
  <c r="H318" i="7" s="1"/>
  <c r="E86" i="6"/>
  <c r="E83" i="6" s="1"/>
  <c r="E82" i="6" s="1"/>
  <c r="E34" i="6"/>
  <c r="G34" i="6" s="1"/>
  <c r="H34" i="6" s="1"/>
  <c r="G51" i="6"/>
  <c r="H51" i="6" s="1"/>
  <c r="E50" i="6"/>
  <c r="G50" i="6" s="1"/>
  <c r="H50" i="6" s="1"/>
  <c r="E176" i="7"/>
  <c r="G176" i="7" s="1"/>
  <c r="H176" i="7" s="1"/>
  <c r="G177" i="7"/>
  <c r="H177" i="7" s="1"/>
  <c r="P187" i="7"/>
  <c r="P35" i="7"/>
  <c r="P64" i="6"/>
  <c r="E64" i="6" s="1"/>
  <c r="P50" i="6"/>
  <c r="J27" i="7"/>
  <c r="J28" i="7" s="1"/>
  <c r="P28" i="7" s="1"/>
  <c r="P103" i="7"/>
  <c r="E103" i="7" s="1"/>
  <c r="G103" i="7" s="1"/>
  <c r="H103" i="7" s="1"/>
  <c r="P120" i="7"/>
  <c r="E120" i="7" s="1"/>
  <c r="G120" i="7" s="1"/>
  <c r="H120" i="7" s="1"/>
  <c r="G45" i="6"/>
  <c r="H45" i="6" s="1"/>
  <c r="G68" i="6"/>
  <c r="H68" i="6" s="1"/>
  <c r="G37" i="6"/>
  <c r="H37" i="6" s="1"/>
  <c r="G79" i="6"/>
  <c r="H79" i="6" s="1"/>
  <c r="G17" i="6"/>
  <c r="H17" i="6" s="1"/>
  <c r="P8" i="6"/>
  <c r="P7" i="6" s="1"/>
  <c r="G54" i="6"/>
  <c r="H54" i="6" s="1"/>
  <c r="E121" i="7"/>
  <c r="G121" i="7" s="1"/>
  <c r="H121" i="7" s="1"/>
  <c r="G158" i="7"/>
  <c r="H158" i="7" s="1"/>
  <c r="E213" i="7"/>
  <c r="G213" i="7" s="1"/>
  <c r="G323" i="7"/>
  <c r="H323" i="7" s="1"/>
  <c r="G327" i="7"/>
  <c r="H327" i="7" s="1"/>
  <c r="E114" i="7"/>
  <c r="G114" i="7" s="1"/>
  <c r="H114" i="7" s="1"/>
  <c r="E117" i="7"/>
  <c r="G117" i="7" s="1"/>
  <c r="H117" i="7" s="1"/>
  <c r="G179" i="7"/>
  <c r="H179" i="7" s="1"/>
  <c r="G174" i="7"/>
  <c r="E165" i="7"/>
  <c r="G165" i="7" s="1"/>
  <c r="H165" i="7" s="1"/>
  <c r="E107" i="7"/>
  <c r="G107" i="7" s="1"/>
  <c r="H107" i="7" s="1"/>
  <c r="P34" i="6"/>
  <c r="G42" i="6"/>
  <c r="H42" i="6" s="1"/>
  <c r="G194" i="7"/>
  <c r="E86" i="7"/>
  <c r="P49" i="7"/>
  <c r="E59" i="7"/>
  <c r="G59" i="7" s="1"/>
  <c r="H59" i="7" s="1"/>
  <c r="G144" i="7"/>
  <c r="H144" i="7" s="1"/>
  <c r="E13" i="7"/>
  <c r="G13" i="7" s="1"/>
  <c r="H13" i="7" s="1"/>
  <c r="E90" i="7"/>
  <c r="G90" i="7" s="1"/>
  <c r="H90" i="7" s="1"/>
  <c r="E29" i="7"/>
  <c r="G29" i="7" s="1"/>
  <c r="H29" i="7" s="1"/>
  <c r="E74" i="7"/>
  <c r="G74" i="7" s="1"/>
  <c r="H74" i="7" s="1"/>
  <c r="E77" i="7"/>
  <c r="G77" i="7" s="1"/>
  <c r="H77" i="7" s="1"/>
  <c r="G78" i="7"/>
  <c r="H78" i="7" s="1"/>
  <c r="G50" i="7"/>
  <c r="H50" i="7" s="1"/>
  <c r="G9" i="6"/>
  <c r="H9" i="6" s="1"/>
  <c r="E8" i="6"/>
  <c r="P220" i="7"/>
  <c r="E221" i="7"/>
  <c r="P216" i="7"/>
  <c r="E217" i="7"/>
  <c r="J25" i="7"/>
  <c r="P25" i="7" s="1"/>
  <c r="J26" i="7" s="1"/>
  <c r="P26" i="7" s="1"/>
  <c r="G188" i="7"/>
  <c r="H188" i="7" s="1"/>
  <c r="E187" i="7"/>
  <c r="G187" i="7" s="1"/>
  <c r="H187" i="7" s="1"/>
  <c r="G183" i="7"/>
  <c r="H183" i="7" s="1"/>
  <c r="E52" i="7"/>
  <c r="G52" i="7" s="1"/>
  <c r="H52" i="7" s="1"/>
  <c r="G197" i="7"/>
  <c r="H197" i="7" s="1"/>
  <c r="E196" i="7"/>
  <c r="G196" i="7" s="1"/>
  <c r="H196" i="7" s="1"/>
  <c r="G319" i="7"/>
  <c r="H319" i="7" s="1"/>
  <c r="E205" i="7" l="1"/>
  <c r="G205" i="7" s="1"/>
  <c r="H205" i="7" s="1"/>
  <c r="G83" i="6"/>
  <c r="G82" i="6" s="1"/>
  <c r="H82" i="6" s="1"/>
  <c r="G36" i="7"/>
  <c r="H36" i="7" s="1"/>
  <c r="G31" i="6"/>
  <c r="H31" i="6" s="1"/>
  <c r="G86" i="6"/>
  <c r="H86" i="6" s="1"/>
  <c r="P63" i="6"/>
  <c r="P84" i="7"/>
  <c r="G149" i="7"/>
  <c r="H149" i="7" s="1"/>
  <c r="P27" i="7"/>
  <c r="P23" i="7" s="1"/>
  <c r="G24" i="6"/>
  <c r="H24" i="6" s="1"/>
  <c r="E23" i="6"/>
  <c r="G23" i="6" s="1"/>
  <c r="H23" i="6" s="1"/>
  <c r="E33" i="6"/>
  <c r="G33" i="6" s="1"/>
  <c r="H33" i="6" s="1"/>
  <c r="P33" i="6"/>
  <c r="G78" i="6"/>
  <c r="H78" i="6" s="1"/>
  <c r="E77" i="6"/>
  <c r="G77" i="6" s="1"/>
  <c r="H77" i="6" s="1"/>
  <c r="E85" i="7"/>
  <c r="G86" i="7"/>
  <c r="H86" i="7" s="1"/>
  <c r="E220" i="7"/>
  <c r="G220" i="7" s="1"/>
  <c r="H220" i="7" s="1"/>
  <c r="G221" i="7"/>
  <c r="H221" i="7" s="1"/>
  <c r="G64" i="6"/>
  <c r="H64" i="6" s="1"/>
  <c r="E63" i="6"/>
  <c r="G63" i="6" s="1"/>
  <c r="H63" i="6" s="1"/>
  <c r="G30" i="6"/>
  <c r="H30" i="6" s="1"/>
  <c r="E29" i="6"/>
  <c r="G29" i="6" s="1"/>
  <c r="H29" i="6" s="1"/>
  <c r="E216" i="7"/>
  <c r="G216" i="7" s="1"/>
  <c r="H216" i="7" s="1"/>
  <c r="G217" i="7"/>
  <c r="H217" i="7" s="1"/>
  <c r="E7" i="6"/>
  <c r="G8" i="6"/>
  <c r="H8" i="6" s="1"/>
  <c r="E49" i="7"/>
  <c r="G49" i="7" s="1"/>
  <c r="H49" i="7" s="1"/>
  <c r="P6" i="6" l="1"/>
  <c r="E6" i="6"/>
  <c r="G6" i="6" s="1"/>
  <c r="H6" i="6" s="1"/>
  <c r="H83" i="6"/>
  <c r="G85" i="7"/>
  <c r="H85" i="7" s="1"/>
  <c r="E84" i="7"/>
  <c r="G84" i="7" s="1"/>
  <c r="H84" i="7" s="1"/>
  <c r="J11" i="2"/>
  <c r="G7" i="6"/>
  <c r="H7" i="6" s="1"/>
  <c r="E23" i="7"/>
  <c r="P7" i="7"/>
  <c r="P6" i="7" s="1"/>
  <c r="P5" i="7" s="1"/>
  <c r="F18" i="2"/>
  <c r="J10" i="2" l="1"/>
  <c r="F13" i="2"/>
  <c r="J18" i="2"/>
  <c r="F12" i="2"/>
  <c r="J15" i="2"/>
  <c r="F11" i="2"/>
  <c r="F10" i="2"/>
  <c r="G23" i="7"/>
  <c r="H23" i="7" s="1"/>
  <c r="E7" i="7"/>
  <c r="E6" i="7" s="1"/>
  <c r="E5" i="7" s="1"/>
  <c r="J12" i="2" l="1"/>
  <c r="F17" i="2"/>
  <c r="G7" i="7"/>
  <c r="H7" i="7" s="1"/>
  <c r="F16" i="2" l="1"/>
  <c r="G6" i="7"/>
  <c r="H6" i="7" s="1"/>
  <c r="G5" i="7"/>
  <c r="H5" i="7" s="1"/>
  <c r="F15" i="2" l="1"/>
</calcChain>
</file>

<file path=xl/sharedStrings.xml><?xml version="1.0" encoding="utf-8"?>
<sst xmlns="http://schemas.openxmlformats.org/spreadsheetml/2006/main" count="2320" uniqueCount="487">
  <si>
    <t>제2조 1. 세입ㆍ세출의 명세는 세입ㆍ세출 예산서와 같다.</t>
  </si>
  <si>
    <t>성무활동비 및 미사예물(사제)</t>
  </si>
  <si>
    <t>동자동 임대수입(1층,지하층)</t>
  </si>
  <si>
    <t>카사지센 사업비 지원(자부담)</t>
  </si>
  <si>
    <t>온라인모금(해피빈, 신한아름인)</t>
  </si>
  <si>
    <t xml:space="preserve">2012년 11월 집행액(C)
</t>
  </si>
  <si>
    <t>기획사업(가톨릭사회복지운영지표)</t>
  </si>
  <si>
    <t xml:space="preserve">3. 세출의 내용은 다음과 같다. </t>
  </si>
  <si>
    <t>회의비</t>
  </si>
  <si>
    <t>원</t>
  </si>
  <si>
    <t>시설비</t>
  </si>
  <si>
    <t>업무</t>
  </si>
  <si>
    <t>식</t>
  </si>
  <si>
    <t>월</t>
  </si>
  <si>
    <t>조성비</t>
  </si>
  <si>
    <t>=</t>
  </si>
  <si>
    <t>×</t>
  </si>
  <si>
    <t>항</t>
  </si>
  <si>
    <t>목</t>
  </si>
  <si>
    <t>후원금</t>
  </si>
  <si>
    <t>재산</t>
  </si>
  <si>
    <t>대</t>
  </si>
  <si>
    <t>합계</t>
  </si>
  <si>
    <t>회</t>
  </si>
  <si>
    <t>관</t>
  </si>
  <si>
    <t>수입</t>
  </si>
  <si>
    <t>근속</t>
  </si>
  <si>
    <t>전입금</t>
  </si>
  <si>
    <t>기본</t>
  </si>
  <si>
    <t>사무비</t>
  </si>
  <si>
    <t>인건비</t>
  </si>
  <si>
    <t>급여</t>
  </si>
  <si>
    <t>잡수입</t>
  </si>
  <si>
    <t>잡지출</t>
  </si>
  <si>
    <t>지정</t>
  </si>
  <si>
    <t xml:space="preserve"> =</t>
  </si>
  <si>
    <t>비지정</t>
  </si>
  <si>
    <t>예비비</t>
  </si>
  <si>
    <t>x</t>
  </si>
  <si>
    <t>소계</t>
  </si>
  <si>
    <t>명</t>
  </si>
  <si>
    <t xml:space="preserve"> </t>
  </si>
  <si>
    <t>급식비</t>
  </si>
  <si>
    <t>CMS</t>
  </si>
  <si>
    <t>이월금</t>
  </si>
  <si>
    <t>비율</t>
  </si>
  <si>
    <t>금액</t>
  </si>
  <si>
    <t>곳</t>
  </si>
  <si>
    <t>/</t>
  </si>
  <si>
    <t>직책</t>
  </si>
  <si>
    <t>추진비</t>
  </si>
  <si>
    <t>전출금</t>
  </si>
  <si>
    <t>차량비</t>
  </si>
  <si>
    <t>수당</t>
  </si>
  <si>
    <t>반환금</t>
  </si>
  <si>
    <t>계</t>
  </si>
  <si>
    <t>총계</t>
  </si>
  <si>
    <t>천원</t>
  </si>
  <si>
    <t>여비</t>
  </si>
  <si>
    <t>직무</t>
  </si>
  <si>
    <t>운영비</t>
  </si>
  <si>
    <t>본봉</t>
  </si>
  <si>
    <t>사업비</t>
  </si>
  <si>
    <t>법정</t>
  </si>
  <si>
    <t>분기</t>
  </si>
  <si>
    <t xml:space="preserve">  </t>
  </si>
  <si>
    <t>부</t>
  </si>
  <si>
    <t>재산수입</t>
  </si>
  <si>
    <t>차량유지비</t>
  </si>
  <si>
    <t>기타추진비</t>
  </si>
  <si>
    <t>출판사업</t>
  </si>
  <si>
    <t>시설전출금</t>
  </si>
  <si>
    <t>교육사업</t>
  </si>
  <si>
    <t>총  계</t>
  </si>
  <si>
    <t>법인 행사비</t>
  </si>
  <si>
    <t>교구지원금</t>
  </si>
  <si>
    <t>이사회 회의비</t>
  </si>
  <si>
    <t>인터넷사용료</t>
  </si>
  <si>
    <t>복지사업</t>
  </si>
  <si>
    <t>기타지원금</t>
  </si>
  <si>
    <t>본당지원금</t>
  </si>
  <si>
    <t>디딤자리</t>
  </si>
  <si>
    <t>모금사업</t>
  </si>
  <si>
    <t>기타 시설비</t>
  </si>
  <si>
    <t>1) 재산수입</t>
  </si>
  <si>
    <t>보미나어린이집</t>
  </si>
  <si>
    <t>선교200주년</t>
  </si>
  <si>
    <t>사업평가회</t>
  </si>
  <si>
    <t>소  계</t>
  </si>
  <si>
    <t>증감(B-A)</t>
  </si>
  <si>
    <t>재난재해</t>
  </si>
  <si>
    <t>지로모금사업비</t>
  </si>
  <si>
    <t>諸유지보수비</t>
  </si>
  <si>
    <t>제세공과금</t>
  </si>
  <si>
    <t xml:space="preserve">제1조 </t>
  </si>
  <si>
    <t>혼배기부사업비</t>
  </si>
  <si>
    <t>세실리아장학금</t>
  </si>
  <si>
    <t>본당모금사업</t>
  </si>
  <si>
    <t>종사자
교육비</t>
  </si>
  <si>
    <t>재해복구비</t>
  </si>
  <si>
    <t>지정후원이월금</t>
  </si>
  <si>
    <t>전례준비비</t>
  </si>
  <si>
    <t>성모영보장학회</t>
  </si>
  <si>
    <t>장학금 지급</t>
  </si>
  <si>
    <t>기타잡수입</t>
  </si>
  <si>
    <t>성동노인복지관</t>
  </si>
  <si>
    <t>원당어린이집</t>
  </si>
  <si>
    <t>교구보조금</t>
  </si>
  <si>
    <t>사업관리</t>
  </si>
  <si>
    <t>대외협력사업</t>
  </si>
  <si>
    <t>기관운영비</t>
  </si>
  <si>
    <t>홍보출판</t>
  </si>
  <si>
    <t>해뜨락어린이집</t>
  </si>
  <si>
    <t>6) 상환금</t>
  </si>
  <si>
    <t>보조금수입</t>
  </si>
  <si>
    <t>교육사업수입</t>
  </si>
  <si>
    <t>산재보험</t>
  </si>
  <si>
    <t>기타수수료</t>
  </si>
  <si>
    <t>지정후원예비비</t>
  </si>
  <si>
    <t>국민연금</t>
  </si>
  <si>
    <t>5) 후원금</t>
  </si>
  <si>
    <t>요안나장학회</t>
  </si>
  <si>
    <t>지정후원금</t>
  </si>
  <si>
    <t>한빛어린이집</t>
  </si>
  <si>
    <t>기타예비비</t>
  </si>
  <si>
    <t>법인재산관리비</t>
  </si>
  <si>
    <t>특별지원사업</t>
  </si>
  <si>
    <t>한마음지원금</t>
  </si>
  <si>
    <t>도곡어린이집</t>
  </si>
  <si>
    <t>공공요금</t>
  </si>
  <si>
    <t>유락종합복지관</t>
  </si>
  <si>
    <t>예금이자수입</t>
  </si>
  <si>
    <t>말가리다장학회</t>
  </si>
  <si>
    <t>임대수입</t>
  </si>
  <si>
    <t>정근수당</t>
  </si>
  <si>
    <t>후원자관리</t>
  </si>
  <si>
    <t>모금관리</t>
  </si>
  <si>
    <t>우편물발송비</t>
  </si>
  <si>
    <t>자산취득비</t>
  </si>
  <si>
    <t>운영위원회의</t>
  </si>
  <si>
    <t>목동어린이집</t>
  </si>
  <si>
    <t>5) 잡지출</t>
  </si>
  <si>
    <t>장학금지급</t>
  </si>
  <si>
    <t xml:space="preserve">제4조 </t>
  </si>
  <si>
    <t>교육자문위원회</t>
  </si>
  <si>
    <t>고용보험</t>
  </si>
  <si>
    <t>지로후원</t>
  </si>
  <si>
    <t>재산세 등</t>
  </si>
  <si>
    <t>마음자리</t>
  </si>
  <si>
    <t>전문가 자문비</t>
  </si>
  <si>
    <t>소모품비</t>
  </si>
  <si>
    <t>2) 사업수입</t>
  </si>
  <si>
    <t>지역사회모금</t>
  </si>
  <si>
    <t>강서푸드마켓</t>
  </si>
  <si>
    <t>금전출납</t>
  </si>
  <si>
    <t>송화어린이집</t>
  </si>
  <si>
    <t>1) 사무비</t>
  </si>
  <si>
    <t>해그린어린이집</t>
  </si>
  <si>
    <t>자부담이월금</t>
  </si>
  <si>
    <t>지원사업</t>
  </si>
  <si>
    <t>금천노인복지관</t>
  </si>
  <si>
    <t>시설장비유지비</t>
  </si>
  <si>
    <t>사업수입</t>
  </si>
  <si>
    <t>고덕양로원</t>
  </si>
  <si>
    <t>퇴직연금</t>
  </si>
  <si>
    <t>비율(%)</t>
  </si>
  <si>
    <t>기타보조금수입</t>
  </si>
  <si>
    <t>왕십리성당데이</t>
  </si>
  <si>
    <t>방배어린이집</t>
  </si>
  <si>
    <t>동작종합복지관</t>
  </si>
  <si>
    <t>3) 사업비</t>
  </si>
  <si>
    <t>재가특별지원</t>
  </si>
  <si>
    <t>요양보험</t>
  </si>
  <si>
    <t>상계동성당데이</t>
  </si>
  <si>
    <t>4) 전입금</t>
  </si>
  <si>
    <t>햇빛자리</t>
  </si>
  <si>
    <t>자기계발비</t>
  </si>
  <si>
    <t>본당신자교육</t>
  </si>
  <si>
    <t>차량유류대</t>
  </si>
  <si>
    <t>건강보험</t>
  </si>
  <si>
    <t>기타재산수입</t>
  </si>
  <si>
    <t>직원 경조사비</t>
  </si>
  <si>
    <t>고척동성당데이</t>
  </si>
  <si>
    <t>법인세환급금</t>
  </si>
  <si>
    <t>직책보조비</t>
  </si>
  <si>
    <t>공모사업지원금</t>
  </si>
  <si>
    <t>성지보호작업장</t>
  </si>
  <si>
    <t>3) 보조금</t>
  </si>
  <si>
    <t xml:space="preserve">제5조 </t>
  </si>
  <si>
    <t>비둘기주간보호</t>
  </si>
  <si>
    <t>신당종합복지관</t>
  </si>
  <si>
    <t>한가족장학회</t>
  </si>
  <si>
    <t>후원자통합관리</t>
  </si>
  <si>
    <t>은도어린이집</t>
  </si>
  <si>
    <t>기타운영비</t>
  </si>
  <si>
    <t>기말수당</t>
  </si>
  <si>
    <t>정기업무점검</t>
  </si>
  <si>
    <t>희망의집</t>
  </si>
  <si>
    <t>서리풀주간보호</t>
  </si>
  <si>
    <t>교정사목지원</t>
  </si>
  <si>
    <t>한빛종합복지관</t>
  </si>
  <si>
    <t>시설지정기탁</t>
  </si>
  <si>
    <t>홈페이지 관리</t>
  </si>
  <si>
    <t>다향공동생활</t>
  </si>
  <si>
    <t>천호동성당데이</t>
  </si>
  <si>
    <t>CMS관리비</t>
  </si>
  <si>
    <t>상계종합복지관</t>
  </si>
  <si>
    <t>성가정입양원</t>
  </si>
  <si>
    <t>고충처리위원회</t>
  </si>
  <si>
    <t>갈현동성당데이</t>
  </si>
  <si>
    <t>중곡종합복지관</t>
  </si>
  <si>
    <t>기타후생경비</t>
  </si>
  <si>
    <t>출장 여비</t>
  </si>
  <si>
    <t>한국카리타스</t>
  </si>
  <si>
    <t>6) 이월금</t>
  </si>
  <si>
    <t>우리들의공부방</t>
  </si>
  <si>
    <t>연구기획사업</t>
  </si>
  <si>
    <t>등록단체지원금</t>
  </si>
  <si>
    <t>신망애공동생활</t>
  </si>
  <si>
    <t>다사랑공동생활</t>
  </si>
  <si>
    <t>혜화동데이케어</t>
  </si>
  <si>
    <t>및 기타</t>
  </si>
  <si>
    <t>구파발성당데이</t>
  </si>
  <si>
    <t>신당동성당데이</t>
  </si>
  <si>
    <t>홍보사업</t>
  </si>
  <si>
    <t>고액후원자관리</t>
  </si>
  <si>
    <t>우리집공동체</t>
  </si>
  <si>
    <t>차년도이월금</t>
  </si>
  <si>
    <t>계좌입금 후원</t>
  </si>
  <si>
    <t>소라네공동생활</t>
  </si>
  <si>
    <t>신망애의집</t>
  </si>
  <si>
    <t>대외협력
사업</t>
  </si>
  <si>
    <t>방송모금</t>
  </si>
  <si>
    <t>연희네공동생활</t>
  </si>
  <si>
    <t>자동차보험모금</t>
  </si>
  <si>
    <t>연구사업</t>
  </si>
  <si>
    <t>홍보대사관리</t>
  </si>
  <si>
    <t>모금홍보동영상</t>
  </si>
  <si>
    <t>해뜨는집</t>
  </si>
  <si>
    <t>야근 식대</t>
  </si>
  <si>
    <t>장학사업</t>
  </si>
  <si>
    <t>물품후원탁송료</t>
  </si>
  <si>
    <t>두레네공동생활</t>
  </si>
  <si>
    <t>금호동성당데이</t>
  </si>
  <si>
    <t>1.  세 입</t>
  </si>
  <si>
    <t>행운동성당데이</t>
  </si>
  <si>
    <t>2.  세 출</t>
  </si>
  <si>
    <t>일반모금</t>
  </si>
  <si>
    <t>루치아공동생활</t>
  </si>
  <si>
    <t>서울주보 홍보</t>
  </si>
  <si>
    <t>본당방문모금</t>
  </si>
  <si>
    <t>사랑손주간보호</t>
  </si>
  <si>
    <t>공모지원사업</t>
  </si>
  <si>
    <t>세출경비가 부족할 경우에는 사회복지법인 및 사회복지시설 재무회계규칙 제 16조에 의거하여 예산을 전용할 수 있다.</t>
  </si>
  <si>
    <t>국가 또는 지자체로부터 교부된 보조금 및 수익자 부담경비, 후원금 등은 추가경정예산 성립 이전에 사용할 수 있으며</t>
  </si>
  <si>
    <t>강일성모노인요양</t>
  </si>
  <si>
    <t>사회적기업진흥원 사업</t>
  </si>
  <si>
    <t>로사리아공동생활</t>
  </si>
  <si>
    <t>꿈손단기보호시설</t>
  </si>
  <si>
    <t>사회복지사업 지원금</t>
  </si>
  <si>
    <t>(단위 : 천원)</t>
  </si>
  <si>
    <t>구로구육아종합지원센터</t>
  </si>
  <si>
    <t xml:space="preserve">선종봉사부 반환금 </t>
  </si>
  <si>
    <t>양천어르신요양센터</t>
  </si>
  <si>
    <t>신림성모성당데이</t>
  </si>
  <si>
    <t xml:space="preserve"> - 메뉴얼제작비</t>
  </si>
  <si>
    <t>바오로교실주간보호</t>
  </si>
  <si>
    <t>화곡성모공동생활</t>
  </si>
  <si>
    <t>보금자리공동생활</t>
  </si>
  <si>
    <t>시흥4동성당데이</t>
  </si>
  <si>
    <t>특별수당(설,추석)</t>
  </si>
  <si>
    <t>바보의나눔 지원금</t>
  </si>
  <si>
    <t>혼배기부 축복미</t>
  </si>
  <si>
    <t xml:space="preserve"> - 실무자회의비외</t>
  </si>
  <si>
    <t>임대료 지원(본회)</t>
  </si>
  <si>
    <t>헬렌켈러주간보호</t>
  </si>
  <si>
    <t>프란치스코어린이집</t>
  </si>
  <si>
    <t>CS노인통합
사례관리</t>
  </si>
  <si>
    <t>종부세 및 대부료</t>
  </si>
  <si>
    <t>회장 직책보조비</t>
  </si>
  <si>
    <t>화곡본동성당데이</t>
  </si>
  <si>
    <t>등촌7종합복지관</t>
  </si>
  <si>
    <t>헬렌켈러공동생활2</t>
  </si>
  <si>
    <t>신풍오피스텔 임대</t>
  </si>
  <si>
    <t>서로함께(청담)</t>
  </si>
  <si>
    <t>한우리보호작업장</t>
  </si>
  <si>
    <t>사업계획 및 평가</t>
  </si>
  <si>
    <t>양천데이케어센터</t>
  </si>
  <si>
    <t>한우리정보문화센터</t>
  </si>
  <si>
    <t>사례집 제작 및 배포</t>
  </si>
  <si>
    <t>장학기금
이자수입</t>
  </si>
  <si>
    <t>한끼100원모금</t>
  </si>
  <si>
    <t>모범본당 운영지원</t>
  </si>
  <si>
    <t>본당 사업 지원금</t>
  </si>
  <si>
    <t>본당사회복지활동지원</t>
  </si>
  <si>
    <t>회계감사및 세무조정료</t>
  </si>
  <si>
    <t>비지정후원 예비비</t>
  </si>
  <si>
    <t>시설본당 공동사업지원</t>
  </si>
  <si>
    <t>운영위원 회의비</t>
  </si>
  <si>
    <t>꿈자람터장애인주간</t>
  </si>
  <si>
    <t>경동제약지정후원금</t>
  </si>
  <si>
    <t>사업설명회 및 심사</t>
  </si>
  <si>
    <t>수용비 및
수수료</t>
  </si>
  <si>
    <t>사순절/대림절 모금</t>
  </si>
  <si>
    <t xml:space="preserve"> - 장소 대관비</t>
  </si>
  <si>
    <t>소외계층 긴급지원</t>
  </si>
  <si>
    <t>사순대림 저금통</t>
  </si>
  <si>
    <t>지정기탁시설지원 등</t>
  </si>
  <si>
    <t>사업수행본당 평가회</t>
  </si>
  <si>
    <t xml:space="preserve"> - 기타 진행비</t>
  </si>
  <si>
    <t>직원 회의비 등</t>
  </si>
  <si>
    <t>지정후원 차년도이월금</t>
  </si>
  <si>
    <t>후원관리프로그램</t>
  </si>
  <si>
    <t>장애인주일 미사</t>
  </si>
  <si>
    <t>베들레헴어린이집</t>
  </si>
  <si>
    <t>중구장애인복지관</t>
  </si>
  <si>
    <t>한국사회적기업진흥원</t>
  </si>
  <si>
    <t>운영위원회회의비</t>
  </si>
  <si>
    <t>연차보고서 발간</t>
  </si>
  <si>
    <t>시설장비
유지비</t>
  </si>
  <si>
    <t>사업수행본당 지원</t>
  </si>
  <si>
    <t>한빛장애인주간보호</t>
  </si>
  <si>
    <t>8) 예비비 및 기타</t>
  </si>
  <si>
    <t>사회보험
부담금</t>
  </si>
  <si>
    <t>비지정후원이월금</t>
  </si>
  <si>
    <t>2) 재산조성비</t>
  </si>
  <si>
    <t>예비비
및 기타</t>
  </si>
  <si>
    <t>7) 시설전출금</t>
  </si>
  <si>
    <t>동화나라어린이집</t>
  </si>
  <si>
    <t>4) 과년도지출</t>
  </si>
  <si>
    <t>장학사업
지정후원금</t>
  </si>
  <si>
    <t>한마음한몸
지정후원금</t>
  </si>
  <si>
    <t>지정기탁지원사업</t>
  </si>
  <si>
    <t>서초3단지어린이집</t>
  </si>
  <si>
    <t>사순절 저금통(개인)</t>
  </si>
  <si>
    <t xml:space="preserve">동작노인복지관 </t>
  </si>
  <si>
    <t>긴급재난 직접지원비</t>
  </si>
  <si>
    <t>비둘기직업적응훈련시설</t>
  </si>
  <si>
    <t>대림절 저금통(개인)</t>
  </si>
  <si>
    <t>사랑손직업적응훈련시설</t>
  </si>
  <si>
    <t>경동제약 지정기탁사업</t>
  </si>
  <si>
    <t>재난재해
사업비</t>
  </si>
  <si>
    <t>사회사목국 연계</t>
  </si>
  <si>
    <t>장애인고용장려금</t>
  </si>
  <si>
    <t>시설인사위원회 회의비</t>
  </si>
  <si>
    <t>지역사회모금사업</t>
  </si>
  <si>
    <t>기타 소송경비 등</t>
  </si>
  <si>
    <t>바오로교실작업장</t>
  </si>
  <si>
    <t>시설전출금
(후원금)</t>
  </si>
  <si>
    <t>성빈센트환경마을</t>
  </si>
  <si>
    <t>성모(등촌)어린이집</t>
  </si>
  <si>
    <t>부회장 직책보조비</t>
  </si>
  <si>
    <t>내방자 긴급지원</t>
  </si>
  <si>
    <t>성가정노인복지관</t>
  </si>
  <si>
    <t>시설 수탁관리비 등</t>
  </si>
  <si>
    <t xml:space="preserve"> - 업무점검교통비</t>
  </si>
  <si>
    <t>나자로보호작업장</t>
  </si>
  <si>
    <t>화해의집 쉼자리</t>
  </si>
  <si>
    <t>덕계동 임대수입</t>
  </si>
  <si>
    <t>공모지원사업 운영비</t>
  </si>
  <si>
    <t>쌍문2동어린이집</t>
  </si>
  <si>
    <t>헬렌켈러단기거주</t>
  </si>
  <si>
    <t>한가족장학금 지정후원</t>
  </si>
  <si>
    <t>너울자리공동생활</t>
  </si>
  <si>
    <t>강서직업재활센터</t>
  </si>
  <si>
    <t>전기 · 전화요금</t>
  </si>
  <si>
    <t xml:space="preserve"> - 특별업무점검비</t>
  </si>
  <si>
    <t>옥수동아파트 임대수입</t>
  </si>
  <si>
    <t>하늘자리공동생활</t>
  </si>
  <si>
    <t>마로니에공동생활</t>
  </si>
  <si>
    <t>샛별지역아동센터</t>
  </si>
  <si>
    <t>헬렌켈러공동생활</t>
  </si>
  <si>
    <t>통합네트워크시스템 유지비</t>
  </si>
  <si>
    <t>사무실 컴퓨터및  비품구입</t>
  </si>
  <si>
    <t>장학금지급(1~12월)</t>
  </si>
  <si>
    <t>온라인 모금 웹진 제작</t>
  </si>
  <si>
    <t xml:space="preserve">본당사회복지자문위원회 </t>
  </si>
  <si>
    <t>전자지급결제대행 수수료</t>
  </si>
  <si>
    <t>본당사회복지 공모지원사업</t>
  </si>
  <si>
    <t>온라인 홍보컨텐츠 구입</t>
  </si>
  <si>
    <t>선교200주년장학금 지정후원</t>
  </si>
  <si>
    <t>한끼100원나누기 사업비</t>
  </si>
  <si>
    <t>요안나장학사업 지정후원</t>
  </si>
  <si>
    <t xml:space="preserve"> - 점검단교육비및 평가회비</t>
  </si>
  <si>
    <t>서울대교구성당지정후원금</t>
  </si>
  <si>
    <t>예다움보듬이나눔이어린이집</t>
  </si>
  <si>
    <t>등기,평가, 중개수수료 등</t>
  </si>
  <si>
    <t>다과구입 등 기타회의비</t>
  </si>
  <si>
    <t>본당 자원봉사 
관리및 운영</t>
  </si>
  <si>
    <t>통신사 기지국 임대수입</t>
  </si>
  <si>
    <t>요안나장학기금 이자수입</t>
  </si>
  <si>
    <t>사회복지사목 시범본당 운영</t>
  </si>
  <si>
    <t>성모영보장학기금  이자수입</t>
  </si>
  <si>
    <t>사무실 및 교육실 임차료</t>
  </si>
  <si>
    <t>직영수탁시설방문 및 축하금</t>
  </si>
  <si>
    <t>성모영보장학사업 지정후원</t>
  </si>
  <si>
    <t>자동차세 및 자동차보험료</t>
  </si>
  <si>
    <t>특별수당(부활,휴가,성탄)</t>
  </si>
  <si>
    <t>희망의밥(바보 개인지정기탁)</t>
  </si>
  <si>
    <t>말가리다장학기금 이자수입</t>
  </si>
  <si>
    <t>비지정후원 차년도이월금</t>
  </si>
  <si>
    <t>기타관리비(신청서 제작 등)</t>
  </si>
  <si>
    <t>사업계획서, 보고서 발간</t>
  </si>
  <si>
    <t>2. 세입의 주요 재원은 다음과 같다.</t>
  </si>
  <si>
    <t>명일동성당지원금(성가정노인복지관지원)</t>
  </si>
  <si>
    <t>이는 차기 추가경정예산에 반영해야 한다.</t>
  </si>
  <si>
    <t>이주사목위원회 지원(베들레헴어린이집 지원)</t>
  </si>
  <si>
    <t>서울가톨릭사회복지회 2021년  세입·세출 예산</t>
    <phoneticPr fontId="6" type="noConversion"/>
  </si>
  <si>
    <t>인식개선사업</t>
    <phoneticPr fontId="6" type="noConversion"/>
  </si>
  <si>
    <t>계</t>
    <phoneticPr fontId="6" type="noConversion"/>
  </si>
  <si>
    <t>토론회</t>
    <phoneticPr fontId="6" type="noConversion"/>
  </si>
  <si>
    <t>온라인 콘텐츠제작</t>
    <phoneticPr fontId="6" type="noConversion"/>
  </si>
  <si>
    <t>자료집 제작</t>
    <phoneticPr fontId="6" type="noConversion"/>
  </si>
  <si>
    <t>홍보물 및 평가회의</t>
    <phoneticPr fontId="6" type="noConversion"/>
  </si>
  <si>
    <t>생명존중
문화만들기</t>
    <phoneticPr fontId="6" type="noConversion"/>
  </si>
  <si>
    <t>누림학교</t>
    <phoneticPr fontId="6" type="noConversion"/>
  </si>
  <si>
    <t>곳</t>
    <phoneticPr fontId="6" type="noConversion"/>
  </si>
  <si>
    <t>활동가교육</t>
    <phoneticPr fontId="6" type="noConversion"/>
  </si>
  <si>
    <t>사회조사</t>
    <phoneticPr fontId="6" type="noConversion"/>
  </si>
  <si>
    <t>성과공유회</t>
    <phoneticPr fontId="6" type="noConversion"/>
  </si>
  <si>
    <t>사례컨퍼런스 및 사례집제작</t>
    <phoneticPr fontId="6" type="noConversion"/>
  </si>
  <si>
    <t>계</t>
    <phoneticPr fontId="6" type="noConversion"/>
  </si>
  <si>
    <t>노숙인 야간순회</t>
    <phoneticPr fontId="6" type="noConversion"/>
  </si>
  <si>
    <t>취약계층지원사업</t>
    <phoneticPr fontId="6" type="noConversion"/>
  </si>
  <si>
    <t>동절기노숙인야간순회</t>
    <phoneticPr fontId="6" type="noConversion"/>
  </si>
  <si>
    <t>취약계층 주거비 지원</t>
    <phoneticPr fontId="6" type="noConversion"/>
  </si>
  <si>
    <t>취약계층 쌀 지원</t>
    <phoneticPr fontId="6" type="noConversion"/>
  </si>
  <si>
    <t>원</t>
    <phoneticPr fontId="6" type="noConversion"/>
  </si>
  <si>
    <t>사회복지시설</t>
    <phoneticPr fontId="6" type="noConversion"/>
  </si>
  <si>
    <t>보급형 영상 및 책자 제작</t>
    <phoneticPr fontId="6" type="noConversion"/>
  </si>
  <si>
    <t>강사비</t>
    <phoneticPr fontId="6" type="noConversion"/>
  </si>
  <si>
    <t>교구구입 등 기타진행비</t>
    <phoneticPr fontId="6" type="noConversion"/>
  </si>
  <si>
    <t>가톨릭에코
연대사업</t>
    <phoneticPr fontId="6" type="noConversion"/>
  </si>
  <si>
    <t>직원교육 및 연수(내외부)</t>
    <phoneticPr fontId="6" type="noConversion"/>
  </si>
  <si>
    <t>교육자문위원회</t>
    <phoneticPr fontId="6" type="noConversion"/>
  </si>
  <si>
    <t>신규</t>
    <phoneticPr fontId="6" type="noConversion"/>
  </si>
  <si>
    <t>본당사회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</si>
  <si>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</si>
  <si>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t xml:space="preserve">장애인의날행사 </t>
    <phoneticPr fontId="6" type="noConversion"/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</si>
  <si>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</si>
  <si>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기타후생비(장기근속포상 포함)</t>
    <phoneticPr fontId="6" type="noConversion"/>
  </si>
  <si>
    <t xml:space="preserve">직영수탁시설 근조기운영 </t>
    <phoneticPr fontId="6" type="noConversion"/>
  </si>
  <si>
    <t>사회복지회 사제 급여 지원금</t>
    <phoneticPr fontId="6" type="noConversion"/>
  </si>
  <si>
    <t>양초사업 대여금 상환 관련 수입</t>
    <phoneticPr fontId="6" type="noConversion"/>
  </si>
  <si>
    <t>곳</t>
    <phoneticPr fontId="6" type="noConversion"/>
  </si>
  <si>
    <t>회</t>
    <phoneticPr fontId="6" type="noConversion"/>
  </si>
  <si>
    <t>카리타스정체성과정</t>
    <phoneticPr fontId="6" type="noConversion"/>
  </si>
  <si>
    <t>자기개발과정</t>
    <phoneticPr fontId="6" type="noConversion"/>
  </si>
  <si>
    <t>시설장연수</t>
    <phoneticPr fontId="6" type="noConversion"/>
  </si>
  <si>
    <t>동자동 임대수입(4층)</t>
    <phoneticPr fontId="6" type="noConversion"/>
  </si>
  <si>
    <t xml:space="preserve"> 카리타스정체성</t>
    <phoneticPr fontId="6" type="noConversion"/>
  </si>
  <si>
    <t xml:space="preserve"> 자기개발과정</t>
    <phoneticPr fontId="6" type="noConversion"/>
  </si>
  <si>
    <t xml:space="preserve"> 특별과정(가톨릭에코연대)</t>
    <phoneticPr fontId="6" type="noConversion"/>
  </si>
  <si>
    <t>구리아파트 임대수입</t>
    <phoneticPr fontId="6" type="noConversion"/>
  </si>
  <si>
    <t>후원금</t>
    <phoneticPr fontId="6" type="noConversion"/>
  </si>
  <si>
    <t>비지정</t>
    <phoneticPr fontId="6" type="noConversion"/>
  </si>
  <si>
    <t>장학회 후원금 모금</t>
    <phoneticPr fontId="6" type="noConversion"/>
  </si>
  <si>
    <t>회</t>
    <phoneticPr fontId="6" type="noConversion"/>
  </si>
  <si>
    <t>시범본당 운영지원</t>
    <phoneticPr fontId="6" type="noConversion"/>
  </si>
  <si>
    <t>원</t>
    <phoneticPr fontId="6" type="noConversion"/>
  </si>
  <si>
    <t>곳</t>
    <phoneticPr fontId="6" type="noConversion"/>
  </si>
  <si>
    <t>=</t>
    <phoneticPr fontId="6" type="noConversion"/>
  </si>
  <si>
    <t>2020년 법인세 환급</t>
    <phoneticPr fontId="6" type="noConversion"/>
  </si>
  <si>
    <t>사업비</t>
    <phoneticPr fontId="6" type="noConversion"/>
  </si>
  <si>
    <t>7) 잡수입</t>
    <phoneticPr fontId="6" type="noConversion"/>
  </si>
  <si>
    <t xml:space="preserve">
직영수탁
시설관리
</t>
    <phoneticPr fontId="6" type="noConversion"/>
  </si>
  <si>
    <t>2021년 제2차 추가경정 예산 총칙</t>
    <phoneticPr fontId="6" type="noConversion"/>
  </si>
  <si>
    <t>2021년1차
추경예산(A)</t>
    <phoneticPr fontId="6" type="noConversion"/>
  </si>
  <si>
    <t>2021년2차
추경예산(B)</t>
    <phoneticPr fontId="6" type="noConversion"/>
  </si>
  <si>
    <t>한국종사협 등</t>
    <phoneticPr fontId="6" type="noConversion"/>
  </si>
  <si>
    <t>시설전출금+장애인고용장려금</t>
    <phoneticPr fontId="6" type="noConversion"/>
  </si>
  <si>
    <t>자선주일(대림)2차헌금</t>
    <phoneticPr fontId="6" type="noConversion"/>
  </si>
  <si>
    <t>성지주일(사순)2차헌금</t>
    <phoneticPr fontId="6" type="noConversion"/>
  </si>
  <si>
    <t>시설전출금+시설전출후원금</t>
    <phoneticPr fontId="6" type="noConversion"/>
  </si>
  <si>
    <t>스즈끼씨엠씨 후원금</t>
    <phoneticPr fontId="6" type="noConversion"/>
  </si>
  <si>
    <t>지역사회</t>
    <phoneticPr fontId="6" type="noConversion"/>
  </si>
  <si>
    <t>보호사업</t>
    <phoneticPr fontId="6" type="noConversion"/>
  </si>
  <si>
    <t>2020년한마음지원금 잔액반환 등</t>
    <phoneticPr fontId="6" type="noConversion"/>
  </si>
  <si>
    <t>&lt;수탁종료 2021.3.31&gt;</t>
    <phoneticPr fontId="6" type="noConversion"/>
  </si>
  <si>
    <t>기타재산수입 및 배당수입</t>
    <phoneticPr fontId="6" type="noConversion"/>
  </si>
  <si>
    <t>사회복지법인 서울가톨릭사회복지회의  2021년 제2차 추가경정예산(안) 세입 · 세출액은 각각 8,392,197천원이며</t>
    <phoneticPr fontId="6" type="noConversion"/>
  </si>
  <si>
    <t>2021년 제1차 추가경정예산 대비 3.4%  증가하였다.</t>
    <phoneticPr fontId="6" type="noConversion"/>
  </si>
  <si>
    <t>본당사회</t>
    <phoneticPr fontId="6" type="noConversion"/>
  </si>
  <si>
    <t>복지사업</t>
    <phoneticPr fontId="6" type="noConversion"/>
  </si>
  <si>
    <t>사업비</t>
    <phoneticPr fontId="6" type="noConversion"/>
  </si>
  <si>
    <t>전출금</t>
    <phoneticPr fontId="6" type="noConversion"/>
  </si>
  <si>
    <t>스즈끼씨엠씨지정기탁사업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</si>
</sst>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</numFmts>
  <fonts count="23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b/>
      <sz val="18"/>
      <name val="굴림체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8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67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>
      <alignment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Fill="1" applyBorder="1">
      <alignment vertical="center"/>
    </xf>
    <xf numFmtId="0" fontId="7" fillId="0" borderId="32" xfId="0" applyNumberFormat="1" applyFont="1" applyBorder="1">
      <alignment vertical="center"/>
    </xf>
    <xf numFmtId="41" fontId="7" fillId="0" borderId="28" xfId="4" applyNumberFormat="1" applyFont="1" applyBorder="1">
      <alignment vertical="center"/>
    </xf>
    <xf numFmtId="0" fontId="7" fillId="0" borderId="28" xfId="0" applyNumberFormat="1" applyFont="1" applyBorder="1">
      <alignment vertical="center"/>
    </xf>
    <xf numFmtId="0" fontId="8" fillId="0" borderId="28" xfId="0" applyNumberFormat="1" applyFont="1" applyBorder="1" applyAlignment="1">
      <alignment horizontal="center" vertical="center"/>
    </xf>
    <xf numFmtId="0" fontId="7" fillId="0" borderId="28" xfId="0" applyNumberFormat="1" applyFont="1" applyBorder="1" applyAlignment="1">
      <alignment horizontal="center" vertical="center"/>
    </xf>
    <xf numFmtId="0" fontId="7" fillId="0" borderId="28" xfId="0" quotePrefix="1" applyNumberFormat="1" applyFont="1" applyBorder="1" applyAlignment="1">
      <alignment horizontal="center" vertical="center"/>
    </xf>
    <xf numFmtId="0" fontId="7" fillId="0" borderId="24" xfId="0" applyNumberFormat="1" applyFont="1" applyBorder="1">
      <alignment vertical="center"/>
    </xf>
    <xf numFmtId="0" fontId="7" fillId="0" borderId="12" xfId="0" applyNumberFormat="1" applyFont="1" applyBorder="1" applyAlignment="1">
      <alignment horizontal="left" vertical="center"/>
    </xf>
    <xf numFmtId="0" fontId="7" fillId="0" borderId="31" xfId="0" applyNumberFormat="1" applyFont="1" applyBorder="1" applyAlignment="1">
      <alignment horizontal="left" vertical="center"/>
    </xf>
    <xf numFmtId="41" fontId="7" fillId="0" borderId="0" xfId="4" applyNumberFormat="1" applyFont="1" applyBorder="1">
      <alignment vertical="center"/>
    </xf>
    <xf numFmtId="0" fontId="7" fillId="0" borderId="0" xfId="0" applyNumberFormat="1" applyFont="1" applyBorder="1">
      <alignment vertical="center"/>
    </xf>
    <xf numFmtId="0" fontId="8" fillId="0" borderId="0" xfId="0" applyNumberFormat="1" applyFont="1" applyBorder="1" applyAlignment="1">
      <alignment horizontal="center" vertical="center"/>
    </xf>
    <xf numFmtId="0" fontId="7" fillId="0" borderId="0" xfId="0" quotePrefix="1" applyNumberFormat="1" applyFont="1" applyBorder="1" applyAlignment="1">
      <alignment horizontal="center" vertical="center"/>
    </xf>
    <xf numFmtId="0" fontId="10" fillId="0" borderId="0" xfId="0" applyNumberFormat="1" applyFont="1">
      <alignment vertical="center"/>
    </xf>
    <xf numFmtId="41" fontId="10" fillId="0" borderId="0" xfId="2" applyNumberFormat="1" applyFont="1">
      <alignment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right" vertical="center"/>
    </xf>
    <xf numFmtId="180" fontId="12" fillId="0" borderId="0" xfId="0" applyNumberFormat="1" applyFont="1" applyBorder="1" applyAlignment="1">
      <alignment horizontal="right" vertical="center"/>
    </xf>
    <xf numFmtId="3" fontId="13" fillId="0" borderId="6" xfId="2" applyNumberFormat="1" applyFont="1" applyFill="1" applyBorder="1" applyAlignment="1">
      <alignment horizontal="center" vertical="center"/>
    </xf>
    <xf numFmtId="180" fontId="13" fillId="0" borderId="6" xfId="2" applyNumberFormat="1" applyFont="1" applyBorder="1" applyAlignment="1">
      <alignment horizontal="center" vertical="center"/>
    </xf>
    <xf numFmtId="41" fontId="13" fillId="0" borderId="37" xfId="2" applyNumberFormat="1" applyFont="1" applyBorder="1" applyAlignment="1">
      <alignment horizontal="center" vertical="center"/>
    </xf>
    <xf numFmtId="41" fontId="13" fillId="0" borderId="38" xfId="4" applyNumberFormat="1" applyFont="1" applyFill="1" applyBorder="1" applyAlignment="1">
      <alignment horizontal="center" vertical="center"/>
    </xf>
    <xf numFmtId="3" fontId="13" fillId="0" borderId="37" xfId="2" applyNumberFormat="1" applyFont="1" applyFill="1" applyBorder="1" applyAlignment="1">
      <alignment horizontal="right" vertical="center"/>
    </xf>
    <xf numFmtId="180" fontId="13" fillId="0" borderId="37" xfId="2" applyNumberFormat="1" applyFont="1" applyBorder="1" applyAlignment="1">
      <alignment horizontal="right" vertical="center"/>
    </xf>
    <xf numFmtId="0" fontId="14" fillId="0" borderId="39" xfId="0" applyNumberFormat="1" applyFont="1" applyBorder="1">
      <alignment vertical="center"/>
    </xf>
    <xf numFmtId="0" fontId="14" fillId="0" borderId="39" xfId="0" applyNumberFormat="1" applyFont="1" applyBorder="1" applyAlignment="1">
      <alignment horizontal="center" vertical="center"/>
    </xf>
    <xf numFmtId="41" fontId="15" fillId="0" borderId="39" xfId="0" applyNumberFormat="1" applyFont="1" applyBorder="1">
      <alignment vertical="center"/>
    </xf>
    <xf numFmtId="0" fontId="15" fillId="0" borderId="40" xfId="0" applyNumberFormat="1" applyFont="1" applyBorder="1">
      <alignment vertical="center"/>
    </xf>
    <xf numFmtId="0" fontId="16" fillId="0" borderId="2" xfId="0" applyNumberFormat="1" applyFont="1" applyBorder="1" applyAlignment="1">
      <alignment horizontal="center" vertical="center"/>
    </xf>
    <xf numFmtId="41" fontId="16" fillId="0" borderId="5" xfId="2" applyNumberFormat="1" applyFont="1" applyBorder="1" applyAlignment="1">
      <alignment horizontal="center" vertical="center"/>
    </xf>
    <xf numFmtId="41" fontId="16" fillId="0" borderId="41" xfId="2" applyNumberFormat="1" applyFont="1" applyFill="1" applyBorder="1" applyAlignment="1">
      <alignment horizontal="center" vertical="center"/>
    </xf>
    <xf numFmtId="41" fontId="16" fillId="0" borderId="41" xfId="4" applyNumberFormat="1" applyFont="1" applyFill="1" applyBorder="1" applyAlignment="1">
      <alignment horizontal="center" vertical="center"/>
    </xf>
    <xf numFmtId="3" fontId="16" fillId="0" borderId="21" xfId="2" applyNumberFormat="1" applyFont="1" applyFill="1" applyBorder="1" applyAlignment="1">
      <alignment horizontal="right" vertical="center"/>
    </xf>
    <xf numFmtId="180" fontId="16" fillId="0" borderId="21" xfId="2" applyNumberFormat="1" applyFont="1" applyBorder="1" applyAlignment="1">
      <alignment horizontal="right" vertical="center"/>
    </xf>
    <xf numFmtId="0" fontId="14" fillId="0" borderId="0" xfId="0" applyNumberFormat="1" applyFont="1" applyBorder="1">
      <alignment vertical="center"/>
    </xf>
    <xf numFmtId="0" fontId="14" fillId="0" borderId="0" xfId="0" applyNumberFormat="1" applyFont="1" applyBorder="1" applyAlignment="1">
      <alignment horizontal="center" vertical="center"/>
    </xf>
    <xf numFmtId="41" fontId="15" fillId="0" borderId="0" xfId="0" applyNumberFormat="1" applyFont="1" applyBorder="1">
      <alignment vertical="center"/>
    </xf>
    <xf numFmtId="0" fontId="15" fillId="0" borderId="32" xfId="0" applyNumberFormat="1" applyFont="1" applyBorder="1">
      <alignment vertical="center"/>
    </xf>
    <xf numFmtId="0" fontId="7" fillId="0" borderId="0" xfId="0" applyNumberFormat="1" applyFont="1">
      <alignment vertical="center"/>
    </xf>
    <xf numFmtId="41" fontId="7" fillId="0" borderId="0" xfId="2" applyNumberFormat="1" applyFont="1">
      <alignment vertical="center"/>
    </xf>
    <xf numFmtId="0" fontId="16" fillId="0" borderId="3" xfId="0" applyNumberFormat="1" applyFont="1" applyBorder="1" applyAlignment="1">
      <alignment horizontal="center" vertical="center"/>
    </xf>
    <xf numFmtId="41" fontId="17" fillId="0" borderId="42" xfId="4" applyNumberFormat="1" applyFont="1" applyFill="1" applyBorder="1" applyAlignment="1">
      <alignment horizontal="center" vertical="center"/>
    </xf>
    <xf numFmtId="3" fontId="10" fillId="0" borderId="4" xfId="2" applyNumberFormat="1" applyFont="1" applyFill="1" applyBorder="1" applyAlignment="1">
      <alignment horizontal="right" vertical="center"/>
    </xf>
    <xf numFmtId="0" fontId="14" fillId="0" borderId="18" xfId="0" applyNumberFormat="1" applyFont="1" applyBorder="1">
      <alignment vertical="center"/>
    </xf>
    <xf numFmtId="0" fontId="14" fillId="0" borderId="18" xfId="0" applyNumberFormat="1" applyFont="1" applyBorder="1" applyAlignment="1">
      <alignment horizontal="center" vertical="center"/>
    </xf>
    <xf numFmtId="41" fontId="7" fillId="0" borderId="18" xfId="0" applyNumberFormat="1" applyFont="1" applyBorder="1">
      <alignment vertical="center"/>
    </xf>
    <xf numFmtId="0" fontId="7" fillId="0" borderId="35" xfId="0" applyNumberFormat="1" applyFont="1" applyBorder="1">
      <alignment vertical="center"/>
    </xf>
    <xf numFmtId="0" fontId="10" fillId="0" borderId="2" xfId="0" applyNumberFormat="1" applyFont="1" applyBorder="1" applyAlignment="1">
      <alignment horizontal="center" vertical="center"/>
    </xf>
    <xf numFmtId="41" fontId="10" fillId="0" borderId="42" xfId="4" applyNumberFormat="1" applyFont="1" applyFill="1" applyBorder="1" applyAlignment="1">
      <alignment horizontal="center" vertical="center"/>
    </xf>
    <xf numFmtId="0" fontId="7" fillId="0" borderId="36" xfId="0" applyNumberFormat="1" applyFont="1" applyBorder="1" applyAlignment="1">
      <alignment horizontal="left" vertical="center"/>
    </xf>
    <xf numFmtId="41" fontId="7" fillId="0" borderId="18" xfId="2" applyNumberFormat="1" applyFont="1" applyBorder="1">
      <alignment vertical="center"/>
    </xf>
    <xf numFmtId="0" fontId="10" fillId="0" borderId="5" xfId="0" applyNumberFormat="1" applyFont="1" applyBorder="1" applyAlignment="1">
      <alignment horizontal="center" vertical="center"/>
    </xf>
    <xf numFmtId="41" fontId="10" fillId="0" borderId="41" xfId="4" applyNumberFormat="1" applyFont="1" applyFill="1" applyBorder="1" applyAlignment="1">
      <alignment horizontal="center" vertical="center"/>
    </xf>
    <xf numFmtId="0" fontId="7" fillId="0" borderId="23" xfId="0" applyNumberFormat="1" applyFont="1" applyBorder="1" applyAlignment="1">
      <alignment horizontal="left" vertical="center"/>
    </xf>
    <xf numFmtId="41" fontId="7" fillId="0" borderId="0" xfId="4" applyNumberFormat="1" applyFont="1" applyBorder="1" applyAlignment="1">
      <alignment vertical="center"/>
    </xf>
    <xf numFmtId="41" fontId="10" fillId="0" borderId="43" xfId="4" applyNumberFormat="1" applyFont="1" applyFill="1" applyBorder="1" applyAlignment="1">
      <alignment horizontal="center" vertical="center"/>
    </xf>
    <xf numFmtId="41" fontId="7" fillId="0" borderId="28" xfId="2" applyNumberFormat="1" applyFont="1" applyBorder="1">
      <alignment vertical="center"/>
    </xf>
    <xf numFmtId="0" fontId="8" fillId="0" borderId="18" xfId="0" applyNumberFormat="1" applyFont="1" applyBorder="1" applyAlignment="1">
      <alignment horizontal="center" vertical="center"/>
    </xf>
    <xf numFmtId="41" fontId="7" fillId="0" borderId="18" xfId="4" applyNumberFormat="1" applyFont="1" applyBorder="1">
      <alignment vertical="center"/>
    </xf>
    <xf numFmtId="41" fontId="7" fillId="0" borderId="0" xfId="2" applyNumberFormat="1" applyFont="1" applyBorder="1">
      <alignment vertical="center"/>
    </xf>
    <xf numFmtId="0" fontId="16" fillId="0" borderId="16" xfId="0" applyNumberFormat="1" applyFont="1" applyBorder="1" applyAlignment="1">
      <alignment horizontal="center" vertical="center"/>
    </xf>
    <xf numFmtId="41" fontId="16" fillId="0" borderId="4" xfId="2" applyNumberFormat="1" applyFont="1" applyBorder="1" applyAlignment="1">
      <alignment horizontal="center" vertical="center"/>
    </xf>
    <xf numFmtId="41" fontId="16" fillId="0" borderId="44" xfId="2" applyNumberFormat="1" applyFont="1" applyFill="1" applyBorder="1" applyAlignment="1">
      <alignment horizontal="center" vertical="center"/>
    </xf>
    <xf numFmtId="41" fontId="16" fillId="0" borderId="4" xfId="4" applyNumberFormat="1" applyFont="1" applyFill="1" applyBorder="1" applyAlignment="1">
      <alignment horizontal="center" vertical="center"/>
    </xf>
    <xf numFmtId="3" fontId="16" fillId="0" borderId="4" xfId="2" applyNumberFormat="1" applyFont="1" applyFill="1" applyBorder="1" applyAlignment="1">
      <alignment horizontal="right" vertical="center"/>
    </xf>
    <xf numFmtId="180" fontId="16" fillId="0" borderId="4" xfId="2" applyNumberFormat="1" applyFont="1" applyBorder="1" applyAlignment="1">
      <alignment horizontal="right" vertical="center"/>
    </xf>
    <xf numFmtId="0" fontId="7" fillId="0" borderId="34" xfId="0" applyNumberFormat="1" applyFont="1" applyBorder="1">
      <alignment vertical="center"/>
    </xf>
    <xf numFmtId="41" fontId="15" fillId="0" borderId="34" xfId="0" applyNumberFormat="1" applyFont="1" applyBorder="1">
      <alignment vertical="center"/>
    </xf>
    <xf numFmtId="0" fontId="15" fillId="0" borderId="22" xfId="0" applyNumberFormat="1" applyFont="1" applyBorder="1">
      <alignment vertical="center"/>
    </xf>
    <xf numFmtId="41" fontId="10" fillId="0" borderId="43" xfId="2" applyNumberFormat="1" applyFont="1" applyBorder="1" applyAlignment="1">
      <alignment horizontal="center" vertical="center"/>
    </xf>
    <xf numFmtId="41" fontId="17" fillId="0" borderId="7" xfId="4" applyNumberFormat="1" applyFont="1" applyFill="1" applyBorder="1" applyAlignment="1">
      <alignment horizontal="center" vertical="center"/>
    </xf>
    <xf numFmtId="41" fontId="7" fillId="0" borderId="0" xfId="0" applyNumberFormat="1" applyFont="1" applyBorder="1">
      <alignment vertical="center"/>
    </xf>
    <xf numFmtId="41" fontId="7" fillId="0" borderId="18" xfId="0" applyNumberFormat="1" applyFont="1" applyBorder="1" applyAlignment="1">
      <alignment vertical="center"/>
    </xf>
    <xf numFmtId="0" fontId="7" fillId="0" borderId="23" xfId="0" applyNumberFormat="1" applyFont="1" applyFill="1" applyBorder="1" applyAlignment="1">
      <alignment horizontal="left" vertical="center" shrinkToFit="1"/>
    </xf>
    <xf numFmtId="41" fontId="7" fillId="0" borderId="0" xfId="4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7" fillId="0" borderId="0" xfId="0" quotePrefix="1" applyNumberFormat="1" applyFont="1" applyFill="1" applyBorder="1" applyAlignment="1">
      <alignment horizontal="center" vertical="center"/>
    </xf>
    <xf numFmtId="0" fontId="7" fillId="0" borderId="32" xfId="0" applyNumberFormat="1" applyFont="1" applyFill="1" applyBorder="1">
      <alignment vertical="center"/>
    </xf>
    <xf numFmtId="0" fontId="10" fillId="0" borderId="20" xfId="0" applyNumberFormat="1" applyFont="1" applyBorder="1" applyAlignment="1">
      <alignment horizontal="center" vertical="center"/>
    </xf>
    <xf numFmtId="0" fontId="10" fillId="0" borderId="7" xfId="0" applyNumberFormat="1" applyFont="1" applyBorder="1" applyAlignment="1">
      <alignment horizontal="center" vertical="center"/>
    </xf>
    <xf numFmtId="41" fontId="10" fillId="0" borderId="7" xfId="2" applyNumberFormat="1" applyFont="1" applyBorder="1" applyAlignment="1">
      <alignment vertical="center"/>
    </xf>
    <xf numFmtId="41" fontId="10" fillId="0" borderId="43" xfId="2" applyNumberFormat="1" applyFont="1" applyFill="1" applyBorder="1" applyAlignment="1">
      <alignment vertical="center"/>
    </xf>
    <xf numFmtId="3" fontId="10" fillId="0" borderId="7" xfId="2" applyNumberFormat="1" applyFont="1" applyFill="1" applyBorder="1" applyAlignment="1">
      <alignment vertical="center"/>
    </xf>
    <xf numFmtId="180" fontId="10" fillId="0" borderId="7" xfId="2" applyNumberFormat="1" applyFont="1" applyBorder="1" applyAlignment="1">
      <alignment vertical="center"/>
    </xf>
    <xf numFmtId="0" fontId="7" fillId="0" borderId="28" xfId="0" applyNumberFormat="1" applyFont="1" applyFill="1" applyBorder="1" applyAlignment="1">
      <alignment horizontal="center" vertical="center"/>
    </xf>
    <xf numFmtId="0" fontId="8" fillId="0" borderId="28" xfId="0" applyNumberFormat="1" applyFont="1" applyFill="1" applyBorder="1" applyAlignment="1">
      <alignment horizontal="center" vertical="center"/>
    </xf>
    <xf numFmtId="0" fontId="7" fillId="0" borderId="28" xfId="0" quotePrefix="1" applyNumberFormat="1" applyFont="1" applyFill="1" applyBorder="1" applyAlignment="1">
      <alignment horizontal="center" vertical="center"/>
    </xf>
    <xf numFmtId="41" fontId="7" fillId="0" borderId="28" xfId="4" applyNumberFormat="1" applyFont="1" applyFill="1" applyBorder="1">
      <alignment vertical="center"/>
    </xf>
    <xf numFmtId="0" fontId="7" fillId="0" borderId="24" xfId="0" applyNumberFormat="1" applyFont="1" applyFill="1" applyBorder="1">
      <alignment vertical="center"/>
    </xf>
    <xf numFmtId="41" fontId="16" fillId="0" borderId="44" xfId="4" applyNumberFormat="1" applyFont="1" applyFill="1" applyBorder="1" applyAlignment="1">
      <alignment horizontal="center" vertical="center"/>
    </xf>
    <xf numFmtId="0" fontId="16" fillId="0" borderId="5" xfId="0" applyNumberFormat="1" applyFont="1" applyBorder="1" applyAlignment="1">
      <alignment horizontal="center" vertical="center" shrinkToFit="1"/>
    </xf>
    <xf numFmtId="41" fontId="10" fillId="0" borderId="4" xfId="2" applyNumberFormat="1" applyFont="1" applyBorder="1" applyAlignment="1">
      <alignment horizontal="center" vertical="center"/>
    </xf>
    <xf numFmtId="41" fontId="10" fillId="0" borderId="44" xfId="2" applyNumberFormat="1" applyFont="1" applyFill="1" applyBorder="1" applyAlignment="1">
      <alignment horizontal="center" vertical="center"/>
    </xf>
    <xf numFmtId="41" fontId="17" fillId="0" borderId="44" xfId="4" applyNumberFormat="1" applyFont="1" applyFill="1" applyBorder="1" applyAlignment="1">
      <alignment horizontal="center" vertical="center"/>
    </xf>
    <xf numFmtId="0" fontId="16" fillId="0" borderId="16" xfId="0" applyNumberFormat="1" applyFont="1" applyBorder="1" applyAlignment="1">
      <alignment horizontal="center" vertical="center" shrinkToFit="1"/>
    </xf>
    <xf numFmtId="0" fontId="15" fillId="0" borderId="34" xfId="0" applyNumberFormat="1" applyFont="1" applyBorder="1">
      <alignment vertical="center"/>
    </xf>
    <xf numFmtId="0" fontId="15" fillId="0" borderId="34" xfId="0" applyNumberFormat="1" applyFont="1" applyBorder="1" applyAlignment="1">
      <alignment horizontal="center" vertical="center"/>
    </xf>
    <xf numFmtId="0" fontId="7" fillId="0" borderId="15" xfId="0" applyNumberFormat="1" applyFont="1" applyBorder="1">
      <alignment vertical="center"/>
    </xf>
    <xf numFmtId="41" fontId="7" fillId="0" borderId="34" xfId="0" applyNumberFormat="1" applyFont="1" applyBorder="1">
      <alignment vertical="center"/>
    </xf>
    <xf numFmtId="0" fontId="7" fillId="0" borderId="22" xfId="0" applyNumberFormat="1" applyFont="1" applyBorder="1">
      <alignment vertical="center"/>
    </xf>
    <xf numFmtId="0" fontId="7" fillId="0" borderId="23" xfId="0" applyNumberFormat="1" applyFont="1" applyBorder="1">
      <alignment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34" xfId="0" applyNumberFormat="1" applyFont="1" applyFill="1" applyBorder="1">
      <alignment vertical="center"/>
    </xf>
    <xf numFmtId="0" fontId="7" fillId="0" borderId="34" xfId="0" applyNumberFormat="1" applyFont="1" applyFill="1" applyBorder="1" applyAlignment="1">
      <alignment vertical="center"/>
    </xf>
    <xf numFmtId="0" fontId="7" fillId="0" borderId="34" xfId="0" applyNumberFormat="1" applyFont="1" applyFill="1" applyBorder="1" applyAlignment="1">
      <alignment horizontal="center" vertical="center"/>
    </xf>
    <xf numFmtId="41" fontId="15" fillId="0" borderId="34" xfId="0" applyNumberFormat="1" applyFont="1" applyFill="1" applyBorder="1">
      <alignment vertical="center"/>
    </xf>
    <xf numFmtId="0" fontId="15" fillId="0" borderId="22" xfId="0" applyNumberFormat="1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vertical="center"/>
    </xf>
    <xf numFmtId="41" fontId="7" fillId="0" borderId="0" xfId="0" applyNumberFormat="1" applyFont="1" applyFill="1" applyBorder="1">
      <alignment vertical="center"/>
    </xf>
    <xf numFmtId="0" fontId="7" fillId="0" borderId="36" xfId="0" applyNumberFormat="1" applyFont="1" applyFill="1" applyBorder="1" applyAlignment="1">
      <alignment horizontal="left" vertical="center"/>
    </xf>
    <xf numFmtId="41" fontId="7" fillId="0" borderId="18" xfId="2" applyNumberFormat="1" applyFont="1" applyFill="1" applyBorder="1">
      <alignment vertical="center"/>
    </xf>
    <xf numFmtId="0" fontId="7" fillId="0" borderId="18" xfId="0" applyNumberFormat="1" applyFont="1" applyFill="1" applyBorder="1" applyAlignment="1">
      <alignment vertical="center"/>
    </xf>
    <xf numFmtId="0" fontId="7" fillId="0" borderId="35" xfId="0" applyNumberFormat="1" applyFont="1" applyFill="1" applyBorder="1">
      <alignment vertical="center"/>
    </xf>
    <xf numFmtId="0" fontId="7" fillId="0" borderId="23" xfId="0" applyNumberFormat="1" applyFont="1" applyFill="1" applyBorder="1" applyAlignment="1">
      <alignment horizontal="left" vertical="center"/>
    </xf>
    <xf numFmtId="41" fontId="7" fillId="0" borderId="0" xfId="4" applyNumberFormat="1" applyFont="1" applyFill="1" applyBorder="1" applyAlignment="1">
      <alignment horizontal="center" vertical="center"/>
    </xf>
    <xf numFmtId="0" fontId="15" fillId="0" borderId="36" xfId="0" applyNumberFormat="1" applyFont="1" applyBorder="1" applyAlignment="1">
      <alignment horizontal="left" vertical="center"/>
    </xf>
    <xf numFmtId="0" fontId="7" fillId="0" borderId="33" xfId="0" applyNumberFormat="1" applyFont="1" applyFill="1" applyBorder="1" applyAlignment="1">
      <alignment horizontal="left" vertical="center"/>
    </xf>
    <xf numFmtId="41" fontId="7" fillId="0" borderId="18" xfId="4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left" vertical="center"/>
    </xf>
    <xf numFmtId="0" fontId="15" fillId="0" borderId="36" xfId="0" applyNumberFormat="1" applyFont="1" applyFill="1" applyBorder="1" applyAlignment="1">
      <alignment horizontal="left" vertical="center"/>
    </xf>
    <xf numFmtId="0" fontId="10" fillId="0" borderId="11" xfId="0" applyNumberFormat="1" applyFont="1" applyBorder="1" applyAlignment="1">
      <alignment horizontal="center" vertical="center"/>
    </xf>
    <xf numFmtId="0" fontId="10" fillId="0" borderId="10" xfId="0" applyNumberFormat="1" applyFont="1" applyBorder="1" applyAlignment="1">
      <alignment horizontal="center" vertical="center"/>
    </xf>
    <xf numFmtId="41" fontId="7" fillId="0" borderId="14" xfId="4" applyNumberFormat="1" applyFont="1" applyFill="1" applyBorder="1">
      <alignment vertical="center"/>
    </xf>
    <xf numFmtId="0" fontId="7" fillId="0" borderId="14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center" vertical="center"/>
    </xf>
    <xf numFmtId="0" fontId="7" fillId="0" borderId="14" xfId="0" quotePrefix="1" applyNumberFormat="1" applyFont="1" applyFill="1" applyBorder="1" applyAlignment="1">
      <alignment horizontal="center" vertical="center"/>
    </xf>
    <xf numFmtId="0" fontId="7" fillId="0" borderId="30" xfId="0" applyNumberFormat="1" applyFont="1" applyFill="1" applyBorder="1">
      <alignment vertical="center"/>
    </xf>
    <xf numFmtId="0" fontId="15" fillId="0" borderId="32" xfId="0" applyNumberFormat="1" applyFont="1" applyFill="1" applyBorder="1">
      <alignment vertical="center"/>
    </xf>
    <xf numFmtId="178" fontId="10" fillId="0" borderId="44" xfId="2" applyNumberFormat="1" applyFont="1" applyFill="1" applyBorder="1" applyAlignment="1">
      <alignment horizontal="right" vertical="center"/>
    </xf>
    <xf numFmtId="41" fontId="10" fillId="0" borderId="44" xfId="4" applyNumberFormat="1" applyFont="1" applyFill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15" fillId="0" borderId="0" xfId="0" quotePrefix="1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4" fillId="0" borderId="23" xfId="0" applyNumberFormat="1" applyFont="1" applyFill="1" applyBorder="1" applyAlignment="1">
      <alignment horizontal="left" vertical="center" shrinkToFit="1"/>
    </xf>
    <xf numFmtId="0" fontId="14" fillId="0" borderId="33" xfId="0" applyNumberFormat="1" applyFont="1" applyFill="1" applyBorder="1" applyAlignment="1">
      <alignment horizontal="left" vertical="center" shrinkToFit="1"/>
    </xf>
    <xf numFmtId="41" fontId="10" fillId="0" borderId="44" xfId="2" applyNumberFormat="1" applyFont="1" applyBorder="1" applyAlignment="1">
      <alignment horizontal="center" vertical="center"/>
    </xf>
    <xf numFmtId="41" fontId="17" fillId="0" borderId="4" xfId="4" applyNumberFormat="1" applyFont="1" applyFill="1" applyBorder="1" applyAlignment="1">
      <alignment horizontal="center" vertical="center"/>
    </xf>
    <xf numFmtId="0" fontId="7" fillId="0" borderId="18" xfId="0" applyNumberFormat="1" applyFont="1" applyBorder="1">
      <alignment vertical="center"/>
    </xf>
    <xf numFmtId="0" fontId="10" fillId="0" borderId="15" xfId="0" applyNumberFormat="1" applyFont="1" applyBorder="1" applyAlignment="1">
      <alignment horizontal="center" vertical="center" shrinkToFit="1"/>
    </xf>
    <xf numFmtId="41" fontId="10" fillId="0" borderId="3" xfId="2" applyNumberFormat="1" applyFont="1" applyBorder="1" applyAlignment="1">
      <alignment horizontal="right" vertical="center"/>
    </xf>
    <xf numFmtId="41" fontId="10" fillId="0" borderId="42" xfId="2" applyNumberFormat="1" applyFont="1" applyFill="1" applyBorder="1" applyAlignment="1">
      <alignment horizontal="right" vertical="center"/>
    </xf>
    <xf numFmtId="41" fontId="10" fillId="0" borderId="3" xfId="4" applyNumberFormat="1" applyFont="1" applyFill="1" applyBorder="1" applyAlignment="1">
      <alignment horizontal="right" vertical="center"/>
    </xf>
    <xf numFmtId="0" fontId="7" fillId="0" borderId="15" xfId="0" applyNumberFormat="1" applyFont="1" applyBorder="1" applyAlignment="1">
      <alignment horizontal="left" vertical="center"/>
    </xf>
    <xf numFmtId="41" fontId="7" fillId="0" borderId="34" xfId="2" applyNumberFormat="1" applyFont="1" applyBorder="1">
      <alignment vertical="center"/>
    </xf>
    <xf numFmtId="0" fontId="8" fillId="0" borderId="34" xfId="0" applyNumberFormat="1" applyFont="1" applyBorder="1" applyAlignment="1">
      <alignment horizontal="center" vertical="center"/>
    </xf>
    <xf numFmtId="0" fontId="7" fillId="0" borderId="34" xfId="0" quotePrefix="1" applyNumberFormat="1" applyFont="1" applyBorder="1" applyAlignment="1">
      <alignment horizontal="center" vertical="center"/>
    </xf>
    <xf numFmtId="0" fontId="7" fillId="0" borderId="18" xfId="0" quotePrefix="1" applyNumberFormat="1" applyFont="1" applyBorder="1" applyAlignment="1">
      <alignment horizontal="center" vertical="center"/>
    </xf>
    <xf numFmtId="41" fontId="16" fillId="0" borderId="3" xfId="2" applyNumberFormat="1" applyFont="1" applyBorder="1" applyAlignment="1">
      <alignment horizontal="center" vertical="center"/>
    </xf>
    <xf numFmtId="41" fontId="16" fillId="0" borderId="44" xfId="2" applyNumberFormat="1" applyFont="1" applyBorder="1" applyAlignment="1">
      <alignment horizontal="center" vertical="center"/>
    </xf>
    <xf numFmtId="3" fontId="16" fillId="0" borderId="4" xfId="2" applyNumberFormat="1" applyFont="1" applyBorder="1" applyAlignment="1">
      <alignment horizontal="right" vertical="center"/>
    </xf>
    <xf numFmtId="41" fontId="15" fillId="0" borderId="18" xfId="4" applyNumberFormat="1" applyFont="1" applyBorder="1">
      <alignment vertical="center"/>
    </xf>
    <xf numFmtId="0" fontId="15" fillId="0" borderId="35" xfId="0" applyNumberFormat="1" applyFont="1" applyBorder="1">
      <alignment vertical="center"/>
    </xf>
    <xf numFmtId="41" fontId="10" fillId="0" borderId="4" xfId="4" applyNumberFormat="1" applyFont="1" applyFill="1" applyBorder="1" applyAlignment="1">
      <alignment horizontal="right" vertical="center"/>
    </xf>
    <xf numFmtId="41" fontId="10" fillId="0" borderId="4" xfId="4" applyNumberFormat="1" applyFont="1" applyFill="1" applyBorder="1" applyAlignment="1">
      <alignment horizontal="center" vertical="center"/>
    </xf>
    <xf numFmtId="41" fontId="7" fillId="0" borderId="0" xfId="2" applyNumberFormat="1" applyFont="1" applyFill="1" applyBorder="1">
      <alignment vertical="center"/>
    </xf>
    <xf numFmtId="0" fontId="7" fillId="0" borderId="29" xfId="0" applyNumberFormat="1" applyFont="1" applyBorder="1" applyAlignment="1">
      <alignment horizontal="left" vertical="center"/>
    </xf>
    <xf numFmtId="41" fontId="7" fillId="0" borderId="14" xfId="2" applyNumberFormat="1" applyFont="1" applyBorder="1">
      <alignment vertical="center"/>
    </xf>
    <xf numFmtId="0" fontId="7" fillId="0" borderId="14" xfId="0" applyNumberFormat="1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center" vertical="center"/>
    </xf>
    <xf numFmtId="0" fontId="7" fillId="0" borderId="14" xfId="0" quotePrefix="1" applyNumberFormat="1" applyFont="1" applyBorder="1" applyAlignment="1">
      <alignment horizontal="center" vertical="center"/>
    </xf>
    <xf numFmtId="0" fontId="7" fillId="0" borderId="30" xfId="0" applyNumberFormat="1" applyFont="1" applyBorder="1">
      <alignment vertical="center"/>
    </xf>
    <xf numFmtId="41" fontId="10" fillId="0" borderId="0" xfId="2" applyNumberFormat="1" applyFont="1" applyAlignment="1">
      <alignment horizontal="center" vertical="center"/>
    </xf>
    <xf numFmtId="41" fontId="10" fillId="0" borderId="0" xfId="2" applyNumberFormat="1" applyFont="1" applyFill="1" applyAlignment="1">
      <alignment horizontal="center" vertical="center"/>
    </xf>
    <xf numFmtId="3" fontId="10" fillId="0" borderId="0" xfId="2" applyNumberFormat="1" applyFont="1" applyFill="1" applyAlignment="1">
      <alignment horizontal="right" vertical="center"/>
    </xf>
    <xf numFmtId="180" fontId="10" fillId="0" borderId="0" xfId="0" applyNumberFormat="1" applyFont="1" applyAlignment="1">
      <alignment horizontal="right" vertical="center"/>
    </xf>
    <xf numFmtId="0" fontId="14" fillId="0" borderId="0" xfId="0" applyNumberFormat="1" applyFont="1">
      <alignment vertical="center"/>
    </xf>
    <xf numFmtId="0" fontId="14" fillId="0" borderId="0" xfId="0" applyNumberFormat="1" applyFont="1" applyAlignment="1">
      <alignment horizontal="center" vertical="center"/>
    </xf>
    <xf numFmtId="179" fontId="10" fillId="0" borderId="0" xfId="2" applyNumberFormat="1" applyFont="1" applyAlignment="1">
      <alignment vertical="center"/>
    </xf>
    <xf numFmtId="0" fontId="14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41" fontId="17" fillId="0" borderId="0" xfId="2" applyNumberFormat="1" applyFont="1">
      <alignment vertical="center"/>
    </xf>
    <xf numFmtId="41" fontId="12" fillId="0" borderId="0" xfId="2" applyNumberFormat="1" applyFont="1" applyFill="1" applyBorder="1" applyAlignment="1">
      <alignment horizontal="center" vertical="center"/>
    </xf>
    <xf numFmtId="41" fontId="12" fillId="0" borderId="0" xfId="2" applyNumberFormat="1" applyFont="1" applyBorder="1" applyAlignment="1">
      <alignment horizontal="center" vertical="center"/>
    </xf>
    <xf numFmtId="178" fontId="12" fillId="0" borderId="0" xfId="2" applyNumberFormat="1" applyFont="1" applyBorder="1" applyAlignment="1">
      <alignment horizontal="right" vertical="center"/>
    </xf>
    <xf numFmtId="179" fontId="12" fillId="0" borderId="0" xfId="2" applyNumberFormat="1" applyFont="1" applyBorder="1" applyAlignment="1">
      <alignment vertical="center"/>
    </xf>
    <xf numFmtId="41" fontId="13" fillId="0" borderId="45" xfId="2" applyNumberFormat="1" applyFont="1" applyBorder="1" applyAlignment="1">
      <alignment horizontal="center" vertical="center"/>
    </xf>
    <xf numFmtId="179" fontId="13" fillId="0" borderId="45" xfId="2" applyNumberFormat="1" applyFont="1" applyBorder="1" applyAlignment="1">
      <alignment vertical="center"/>
    </xf>
    <xf numFmtId="41" fontId="13" fillId="0" borderId="46" xfId="2" applyNumberFormat="1" applyFont="1" applyBorder="1" applyAlignment="1">
      <alignment horizontal="center" vertical="center"/>
    </xf>
    <xf numFmtId="41" fontId="13" fillId="2" borderId="47" xfId="4" applyNumberFormat="1" applyFont="1" applyFill="1" applyBorder="1" applyAlignment="1">
      <alignment horizontal="center" vertical="center"/>
    </xf>
    <xf numFmtId="178" fontId="13" fillId="0" borderId="48" xfId="2" applyNumberFormat="1" applyFont="1" applyBorder="1" applyAlignment="1">
      <alignment horizontal="right" vertical="center"/>
    </xf>
    <xf numFmtId="179" fontId="13" fillId="0" borderId="48" xfId="2" applyNumberFormat="1" applyFont="1" applyBorder="1" applyAlignment="1">
      <alignment vertical="center"/>
    </xf>
    <xf numFmtId="0" fontId="14" fillId="0" borderId="49" xfId="0" applyNumberFormat="1" applyFont="1" applyBorder="1">
      <alignment vertical="center"/>
    </xf>
    <xf numFmtId="0" fontId="14" fillId="0" borderId="50" xfId="0" applyNumberFormat="1" applyFont="1" applyBorder="1">
      <alignment vertical="center"/>
    </xf>
    <xf numFmtId="41" fontId="15" fillId="0" borderId="50" xfId="2" applyNumberFormat="1" applyFont="1" applyBorder="1" applyAlignment="1">
      <alignment horizontal="center" vertical="center"/>
    </xf>
    <xf numFmtId="0" fontId="18" fillId="0" borderId="51" xfId="0" applyNumberFormat="1" applyFont="1" applyBorder="1">
      <alignment vertical="center"/>
    </xf>
    <xf numFmtId="41" fontId="13" fillId="0" borderId="52" xfId="2" applyNumberFormat="1" applyFont="1" applyFill="1" applyBorder="1" applyAlignment="1">
      <alignment horizontal="center" vertical="center"/>
    </xf>
    <xf numFmtId="41" fontId="13" fillId="0" borderId="52" xfId="2" applyNumberFormat="1" applyFont="1" applyBorder="1" applyAlignment="1">
      <alignment horizontal="center" vertical="center"/>
    </xf>
    <xf numFmtId="41" fontId="13" fillId="2" borderId="52" xfId="4" applyNumberFormat="1" applyFont="1" applyFill="1" applyBorder="1" applyAlignment="1">
      <alignment horizontal="center" vertical="center"/>
    </xf>
    <xf numFmtId="178" fontId="13" fillId="0" borderId="52" xfId="2" applyNumberFormat="1" applyFont="1" applyBorder="1" applyAlignment="1">
      <alignment horizontal="right" vertical="center"/>
    </xf>
    <xf numFmtId="179" fontId="13" fillId="0" borderId="52" xfId="2" applyNumberFormat="1" applyFont="1" applyBorder="1" applyAlignment="1">
      <alignment vertical="center"/>
    </xf>
    <xf numFmtId="0" fontId="14" fillId="0" borderId="26" xfId="0" applyNumberFormat="1" applyFont="1" applyBorder="1" applyAlignment="1">
      <alignment horizontal="left" vertical="center"/>
    </xf>
    <xf numFmtId="41" fontId="7" fillId="0" borderId="53" xfId="2" applyNumberFormat="1" applyFont="1" applyBorder="1">
      <alignment vertical="center"/>
    </xf>
    <xf numFmtId="0" fontId="7" fillId="0" borderId="53" xfId="0" applyNumberFormat="1" applyFont="1" applyBorder="1">
      <alignment vertical="center"/>
    </xf>
    <xf numFmtId="0" fontId="7" fillId="0" borderId="53" xfId="0" applyNumberFormat="1" applyFont="1" applyBorder="1" applyAlignment="1">
      <alignment horizontal="center" vertical="center"/>
    </xf>
    <xf numFmtId="41" fontId="15" fillId="0" borderId="53" xfId="2" applyNumberFormat="1" applyFont="1" applyBorder="1">
      <alignment vertical="center"/>
    </xf>
    <xf numFmtId="0" fontId="15" fillId="0" borderId="54" xfId="0" applyNumberFormat="1" applyFont="1" applyBorder="1">
      <alignment vertical="center"/>
    </xf>
    <xf numFmtId="41" fontId="10" fillId="0" borderId="2" xfId="2" applyNumberFormat="1" applyFont="1" applyBorder="1" applyAlignment="1">
      <alignment horizontal="center" vertical="center"/>
    </xf>
    <xf numFmtId="0" fontId="13" fillId="0" borderId="23" xfId="0" applyNumberFormat="1" applyFont="1" applyBorder="1" applyAlignment="1">
      <alignment horizontal="center" vertical="center"/>
    </xf>
    <xf numFmtId="41" fontId="13" fillId="0" borderId="27" xfId="2" applyNumberFormat="1" applyFont="1" applyFill="1" applyBorder="1" applyAlignment="1">
      <alignment horizontal="center" vertical="center"/>
    </xf>
    <xf numFmtId="41" fontId="13" fillId="0" borderId="27" xfId="2" applyNumberFormat="1" applyFont="1" applyBorder="1" applyAlignment="1">
      <alignment horizontal="center" vertical="center"/>
    </xf>
    <xf numFmtId="41" fontId="13" fillId="2" borderId="27" xfId="4" applyNumberFormat="1" applyFont="1" applyFill="1" applyBorder="1" applyAlignment="1">
      <alignment horizontal="center" vertical="center"/>
    </xf>
    <xf numFmtId="178" fontId="13" fillId="0" borderId="27" xfId="2" applyNumberFormat="1" applyFont="1" applyBorder="1" applyAlignment="1">
      <alignment horizontal="right" vertical="center"/>
    </xf>
    <xf numFmtId="179" fontId="13" fillId="0" borderId="27" xfId="2" applyNumberFormat="1" applyFont="1" applyBorder="1" applyAlignment="1">
      <alignment vertical="center"/>
    </xf>
    <xf numFmtId="0" fontId="14" fillId="0" borderId="23" xfId="0" applyNumberFormat="1" applyFont="1" applyBorder="1" applyAlignment="1">
      <alignment horizontal="left" vertical="center"/>
    </xf>
    <xf numFmtId="41" fontId="21" fillId="4" borderId="55" xfId="2" applyNumberFormat="1" applyFont="1" applyFill="1" applyBorder="1" applyAlignment="1">
      <alignment horizontal="center" vertical="distributed"/>
    </xf>
    <xf numFmtId="41" fontId="22" fillId="4" borderId="55" xfId="2" applyNumberFormat="1" applyFont="1" applyFill="1" applyBorder="1" applyAlignment="1">
      <alignment horizontal="center" vertical="distributed"/>
    </xf>
    <xf numFmtId="41" fontId="22" fillId="4" borderId="0" xfId="2" applyNumberFormat="1" applyFont="1" applyFill="1" applyBorder="1" applyAlignment="1">
      <alignment horizontal="center" vertical="distributed"/>
    </xf>
    <xf numFmtId="0" fontId="16" fillId="0" borderId="5" xfId="0" applyNumberFormat="1" applyFont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left" vertical="center"/>
    </xf>
    <xf numFmtId="0" fontId="7" fillId="0" borderId="28" xfId="0" applyNumberFormat="1" applyFont="1" applyBorder="1" applyAlignment="1">
      <alignment horizontal="left" vertical="center"/>
    </xf>
    <xf numFmtId="0" fontId="7" fillId="0" borderId="12" xfId="0" applyNumberFormat="1" applyFont="1" applyBorder="1">
      <alignment vertical="center"/>
    </xf>
    <xf numFmtId="0" fontId="15" fillId="0" borderId="18" xfId="0" applyNumberFormat="1" applyFont="1" applyBorder="1" applyAlignment="1">
      <alignment horizontal="left" vertical="center"/>
    </xf>
    <xf numFmtId="0" fontId="16" fillId="0" borderId="36" xfId="0" applyNumberFormat="1" applyFont="1" applyBorder="1" applyAlignment="1">
      <alignment horizontal="center" vertical="center"/>
    </xf>
    <xf numFmtId="41" fontId="16" fillId="0" borderId="56" xfId="2" applyNumberFormat="1" applyFont="1" applyFill="1" applyBorder="1" applyAlignment="1">
      <alignment horizontal="center" vertical="center"/>
    </xf>
    <xf numFmtId="41" fontId="16" fillId="0" borderId="56" xfId="2" applyNumberFormat="1" applyFont="1" applyBorder="1" applyAlignment="1">
      <alignment horizontal="center" vertical="center"/>
    </xf>
    <xf numFmtId="41" fontId="16" fillId="2" borderId="56" xfId="4" applyNumberFormat="1" applyFont="1" applyFill="1" applyBorder="1" applyAlignment="1">
      <alignment horizontal="center" vertical="center"/>
    </xf>
    <xf numFmtId="178" fontId="16" fillId="0" borderId="56" xfId="2" applyNumberFormat="1" applyFont="1" applyBorder="1" applyAlignment="1">
      <alignment horizontal="right" vertical="center"/>
    </xf>
    <xf numFmtId="179" fontId="16" fillId="0" borderId="56" xfId="2" applyNumberFormat="1" applyFont="1" applyBorder="1" applyAlignment="1">
      <alignment vertical="center"/>
    </xf>
    <xf numFmtId="9" fontId="10" fillId="0" borderId="5" xfId="1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15" fillId="0" borderId="57" xfId="0" applyNumberFormat="1" applyFont="1" applyBorder="1" applyAlignment="1">
      <alignment horizontal="left" vertical="center"/>
    </xf>
    <xf numFmtId="41" fontId="15" fillId="0" borderId="18" xfId="2" applyNumberFormat="1" applyFont="1" applyBorder="1">
      <alignment vertical="center"/>
    </xf>
    <xf numFmtId="0" fontId="7" fillId="0" borderId="2" xfId="0" applyNumberFormat="1" applyFont="1" applyBorder="1">
      <alignment vertical="center"/>
    </xf>
    <xf numFmtId="0" fontId="7" fillId="0" borderId="5" xfId="0" applyNumberFormat="1" applyFont="1" applyBorder="1">
      <alignment vertical="center"/>
    </xf>
    <xf numFmtId="41" fontId="14" fillId="0" borderId="0" xfId="2" applyNumberFormat="1" applyFont="1">
      <alignment vertical="center"/>
    </xf>
    <xf numFmtId="41" fontId="16" fillId="0" borderId="27" xfId="2" applyNumberFormat="1" applyFont="1" applyFill="1" applyBorder="1" applyAlignment="1">
      <alignment horizontal="center" vertical="center"/>
    </xf>
    <xf numFmtId="41" fontId="16" fillId="0" borderId="27" xfId="2" applyNumberFormat="1" applyFont="1" applyBorder="1" applyAlignment="1">
      <alignment horizontal="center" vertical="center"/>
    </xf>
    <xf numFmtId="41" fontId="16" fillId="2" borderId="27" xfId="4" applyNumberFormat="1" applyFont="1" applyFill="1" applyBorder="1" applyAlignment="1">
      <alignment horizontal="center" vertical="center"/>
    </xf>
    <xf numFmtId="178" fontId="16" fillId="0" borderId="27" xfId="2" applyNumberFormat="1" applyFont="1" applyBorder="1" applyAlignment="1">
      <alignment horizontal="right" vertical="center"/>
    </xf>
    <xf numFmtId="179" fontId="16" fillId="0" borderId="27" xfId="2" applyNumberFormat="1" applyFont="1" applyBorder="1" applyAlignment="1">
      <alignment vertical="center"/>
    </xf>
    <xf numFmtId="41" fontId="15" fillId="0" borderId="0" xfId="2" applyNumberFormat="1" applyFont="1" applyBorder="1">
      <alignment vertical="center"/>
    </xf>
    <xf numFmtId="0" fontId="7" fillId="0" borderId="18" xfId="0" applyNumberFormat="1" applyFont="1" applyBorder="1" applyAlignment="1">
      <alignment horizontal="left" vertical="center" shrinkToFit="1"/>
    </xf>
    <xf numFmtId="0" fontId="7" fillId="0" borderId="31" xfId="0" applyNumberFormat="1" applyFont="1" applyBorder="1" applyAlignment="1">
      <alignment horizontal="left" vertical="center" shrinkToFit="1"/>
    </xf>
    <xf numFmtId="0" fontId="7" fillId="0" borderId="0" xfId="0" applyNumberFormat="1" applyFont="1" applyBorder="1" applyAlignment="1">
      <alignment horizontal="left" vertical="center" shrinkToFit="1"/>
    </xf>
    <xf numFmtId="0" fontId="7" fillId="0" borderId="12" xfId="0" applyNumberFormat="1" applyFont="1" applyBorder="1" applyAlignment="1">
      <alignment horizontal="left" vertical="center" shrinkToFit="1"/>
    </xf>
    <xf numFmtId="0" fontId="7" fillId="0" borderId="57" xfId="0" applyNumberFormat="1" applyFont="1" applyBorder="1" applyAlignment="1">
      <alignment horizontal="left" vertical="center" shrinkToFit="1"/>
    </xf>
    <xf numFmtId="41" fontId="16" fillId="0" borderId="1" xfId="2" applyNumberFormat="1" applyFont="1" applyBorder="1" applyAlignment="1">
      <alignment horizontal="center" vertical="center"/>
    </xf>
    <xf numFmtId="41" fontId="16" fillId="0" borderId="58" xfId="2" applyNumberFormat="1" applyFont="1" applyBorder="1" applyAlignment="1">
      <alignment horizontal="center" vertical="center"/>
    </xf>
    <xf numFmtId="41" fontId="16" fillId="2" borderId="58" xfId="4" applyNumberFormat="1" applyFont="1" applyFill="1" applyBorder="1" applyAlignment="1">
      <alignment horizontal="center" vertical="center"/>
    </xf>
    <xf numFmtId="178" fontId="16" fillId="0" borderId="58" xfId="2" applyNumberFormat="1" applyFont="1" applyBorder="1" applyAlignment="1">
      <alignment horizontal="right" vertical="center"/>
    </xf>
    <xf numFmtId="179" fontId="16" fillId="0" borderId="58" xfId="2" applyNumberFormat="1" applyFont="1" applyBorder="1" applyAlignment="1">
      <alignment vertical="center"/>
    </xf>
    <xf numFmtId="0" fontId="7" fillId="0" borderId="59" xfId="0" applyNumberFormat="1" applyFont="1" applyBorder="1" applyAlignment="1">
      <alignment horizontal="left" vertical="center"/>
    </xf>
    <xf numFmtId="41" fontId="7" fillId="0" borderId="60" xfId="2" applyNumberFormat="1" applyFont="1" applyBorder="1">
      <alignment vertical="center"/>
    </xf>
    <xf numFmtId="0" fontId="7" fillId="0" borderId="60" xfId="0" applyNumberFormat="1" applyFont="1" applyBorder="1">
      <alignment vertical="center"/>
    </xf>
    <xf numFmtId="0" fontId="7" fillId="0" borderId="60" xfId="0" applyNumberFormat="1" applyFont="1" applyBorder="1" applyAlignment="1">
      <alignment horizontal="center" vertical="center"/>
    </xf>
    <xf numFmtId="0" fontId="7" fillId="0" borderId="61" xfId="0" applyNumberFormat="1" applyFont="1" applyBorder="1">
      <alignment vertical="center"/>
    </xf>
    <xf numFmtId="41" fontId="17" fillId="2" borderId="62" xfId="4" applyNumberFormat="1" applyFont="1" applyFill="1" applyBorder="1" applyAlignment="1">
      <alignment horizontal="center" vertical="center"/>
    </xf>
    <xf numFmtId="0" fontId="7" fillId="0" borderId="34" xfId="0" applyNumberFormat="1" applyFont="1" applyBorder="1" applyAlignment="1">
      <alignment horizontal="left" vertical="center"/>
    </xf>
    <xf numFmtId="0" fontId="7" fillId="0" borderId="28" xfId="0" applyNumberFormat="1" applyFont="1" applyBorder="1" applyAlignment="1">
      <alignment horizontal="left" vertical="center" shrinkToFit="1"/>
    </xf>
    <xf numFmtId="41" fontId="16" fillId="0" borderId="2" xfId="2" applyNumberFormat="1" applyFont="1" applyBorder="1" applyAlignment="1">
      <alignment horizontal="center" vertical="center"/>
    </xf>
    <xf numFmtId="0" fontId="15" fillId="0" borderId="5" xfId="0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left" vertical="center" shrinkToFit="1"/>
    </xf>
    <xf numFmtId="0" fontId="17" fillId="0" borderId="33" xfId="0" applyNumberFormat="1" applyFont="1" applyBorder="1" applyAlignment="1">
      <alignment horizontal="center" vertical="center" wrapText="1"/>
    </xf>
    <xf numFmtId="41" fontId="10" fillId="0" borderId="48" xfId="2" applyNumberFormat="1" applyFont="1" applyFill="1" applyBorder="1" applyAlignment="1">
      <alignment vertical="center"/>
    </xf>
    <xf numFmtId="41" fontId="10" fillId="0" borderId="48" xfId="2" applyNumberFormat="1" applyFont="1" applyBorder="1" applyAlignment="1">
      <alignment vertical="center"/>
    </xf>
    <xf numFmtId="41" fontId="10" fillId="2" borderId="48" xfId="4" applyNumberFormat="1" applyFont="1" applyFill="1" applyBorder="1" applyAlignment="1">
      <alignment vertical="center"/>
    </xf>
    <xf numFmtId="0" fontId="7" fillId="0" borderId="63" xfId="0" applyNumberFormat="1" applyFont="1" applyBorder="1" applyAlignment="1">
      <alignment horizontal="left" vertical="center"/>
    </xf>
    <xf numFmtId="0" fontId="7" fillId="0" borderId="28" xfId="0" applyNumberFormat="1" applyFont="1" applyFill="1" applyBorder="1">
      <alignment vertical="center"/>
    </xf>
    <xf numFmtId="0" fontId="10" fillId="0" borderId="5" xfId="0" applyNumberFormat="1" applyFont="1" applyBorder="1" applyAlignment="1">
      <alignment horizontal="center" vertical="center" shrinkToFit="1"/>
    </xf>
    <xf numFmtId="41" fontId="10" fillId="2" borderId="56" xfId="4" applyNumberFormat="1" applyFont="1" applyFill="1" applyBorder="1" applyAlignment="1">
      <alignment vertical="center"/>
    </xf>
    <xf numFmtId="179" fontId="10" fillId="0" borderId="27" xfId="4" applyNumberFormat="1" applyFont="1" applyBorder="1" applyAlignment="1">
      <alignment vertical="center" shrinkToFi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56" xfId="0" applyNumberFormat="1" applyFont="1" applyBorder="1">
      <alignment vertical="center"/>
    </xf>
    <xf numFmtId="0" fontId="7" fillId="0" borderId="57" xfId="0" applyNumberFormat="1" applyFont="1" applyBorder="1">
      <alignment vertical="center"/>
    </xf>
    <xf numFmtId="0" fontId="10" fillId="0" borderId="27" xfId="0" applyNumberFormat="1" applyFont="1" applyBorder="1">
      <alignment vertical="center"/>
    </xf>
    <xf numFmtId="41" fontId="16" fillId="0" borderId="12" xfId="2" applyNumberFormat="1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 shrinkToFit="1"/>
    </xf>
    <xf numFmtId="0" fontId="15" fillId="0" borderId="23" xfId="0" applyNumberFormat="1" applyFont="1" applyBorder="1" applyAlignment="1">
      <alignment horizontal="left" vertical="center"/>
    </xf>
    <xf numFmtId="41" fontId="15" fillId="0" borderId="0" xfId="4" applyNumberFormat="1" applyFont="1" applyBorder="1">
      <alignment vertical="center"/>
    </xf>
    <xf numFmtId="0" fontId="15" fillId="0" borderId="0" xfId="0" applyNumberFormat="1" applyFont="1" applyBorder="1">
      <alignment vertical="center"/>
    </xf>
    <xf numFmtId="0" fontId="15" fillId="0" borderId="5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left" vertical="center"/>
    </xf>
    <xf numFmtId="41" fontId="10" fillId="0" borderId="12" xfId="2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left" vertical="center" wrapText="1"/>
    </xf>
    <xf numFmtId="0" fontId="16" fillId="0" borderId="12" xfId="0" applyNumberFormat="1" applyFont="1" applyBorder="1">
      <alignment vertical="center"/>
    </xf>
    <xf numFmtId="0" fontId="7" fillId="0" borderId="18" xfId="0" applyNumberFormat="1" applyFont="1" applyFill="1" applyBorder="1" applyAlignment="1">
      <alignment horizontal="left" vertical="center" shrinkToFit="1"/>
    </xf>
    <xf numFmtId="0" fontId="7" fillId="0" borderId="18" xfId="0" applyNumberFormat="1" applyFont="1" applyFill="1" applyBorder="1">
      <alignment vertical="center"/>
    </xf>
    <xf numFmtId="0" fontId="8" fillId="0" borderId="18" xfId="0" applyNumberFormat="1" applyFont="1" applyFill="1" applyBorder="1" applyAlignment="1">
      <alignment horizontal="center" vertical="center"/>
    </xf>
    <xf numFmtId="0" fontId="7" fillId="0" borderId="28" xfId="0" applyNumberFormat="1" applyFont="1" applyFill="1" applyBorder="1" applyAlignment="1">
      <alignment horizontal="left" vertical="center" shrinkToFit="1"/>
    </xf>
    <xf numFmtId="41" fontId="15" fillId="0" borderId="34" xfId="2" applyNumberFormat="1" applyFont="1" applyBorder="1">
      <alignment vertical="center"/>
    </xf>
    <xf numFmtId="0" fontId="7" fillId="0" borderId="31" xfId="0" applyNumberFormat="1" applyFont="1" applyFill="1" applyBorder="1" applyAlignment="1">
      <alignment vertical="center"/>
    </xf>
    <xf numFmtId="41" fontId="10" fillId="2" borderId="63" xfId="4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2" xfId="0" applyNumberFormat="1" applyFont="1" applyBorder="1">
      <alignment vertical="center"/>
    </xf>
    <xf numFmtId="0" fontId="10" fillId="0" borderId="5" xfId="0" applyNumberFormat="1" applyFont="1" applyBorder="1">
      <alignment vertical="center"/>
    </xf>
    <xf numFmtId="0" fontId="7" fillId="0" borderId="28" xfId="0" applyNumberFormat="1" applyFont="1" applyFill="1" applyBorder="1" applyAlignment="1">
      <alignment horizontal="left" vertical="center" wrapText="1"/>
    </xf>
    <xf numFmtId="0" fontId="10" fillId="0" borderId="5" xfId="0" applyNumberFormat="1" applyFont="1" applyBorder="1" applyAlignment="1">
      <alignment vertical="center"/>
    </xf>
    <xf numFmtId="0" fontId="7" fillId="0" borderId="57" xfId="0" applyNumberFormat="1" applyFont="1" applyFill="1" applyBorder="1" applyAlignment="1">
      <alignment horizontal="left" vertical="center"/>
    </xf>
    <xf numFmtId="41" fontId="7" fillId="0" borderId="18" xfId="0" applyNumberFormat="1" applyFont="1" applyFill="1" applyBorder="1">
      <alignment vertical="center"/>
    </xf>
    <xf numFmtId="0" fontId="7" fillId="0" borderId="12" xfId="0" applyNumberFormat="1" applyFont="1" applyFill="1" applyBorder="1" applyAlignment="1">
      <alignment horizontal="left" vertical="center" shrinkToFit="1"/>
    </xf>
    <xf numFmtId="179" fontId="16" fillId="0" borderId="62" xfId="2" applyNumberFormat="1" applyFont="1" applyBorder="1" applyAlignment="1">
      <alignment vertical="center"/>
    </xf>
    <xf numFmtId="41" fontId="16" fillId="0" borderId="16" xfId="2" applyNumberFormat="1" applyFont="1" applyBorder="1" applyAlignment="1">
      <alignment horizontal="center" vertical="center"/>
    </xf>
    <xf numFmtId="41" fontId="16" fillId="0" borderId="62" xfId="2" applyNumberFormat="1" applyFont="1" applyFill="1" applyBorder="1" applyAlignment="1">
      <alignment horizontal="center" vertical="center"/>
    </xf>
    <xf numFmtId="41" fontId="16" fillId="2" borderId="62" xfId="4" applyNumberFormat="1" applyFont="1" applyFill="1" applyBorder="1" applyAlignment="1">
      <alignment horizontal="center" vertical="center"/>
    </xf>
    <xf numFmtId="178" fontId="16" fillId="0" borderId="62" xfId="2" applyNumberFormat="1" applyFont="1" applyBorder="1" applyAlignment="1">
      <alignment horizontal="right" vertical="center"/>
    </xf>
    <xf numFmtId="0" fontId="7" fillId="0" borderId="13" xfId="0" applyNumberFormat="1" applyFont="1" applyFill="1" applyBorder="1" applyAlignment="1">
      <alignment horizontal="center" vertical="center"/>
    </xf>
    <xf numFmtId="41" fontId="10" fillId="0" borderId="62" xfId="2" applyNumberFormat="1" applyFont="1" applyBorder="1">
      <alignment vertical="center"/>
    </xf>
    <xf numFmtId="41" fontId="10" fillId="2" borderId="62" xfId="2" applyNumberFormat="1" applyFont="1" applyFill="1" applyBorder="1" applyAlignment="1">
      <alignment horizontal="center" vertical="center"/>
    </xf>
    <xf numFmtId="0" fontId="7" fillId="0" borderId="12" xfId="7" applyNumberFormat="1" applyFont="1" applyBorder="1" applyAlignment="1">
      <alignment horizontal="left" vertical="center"/>
    </xf>
    <xf numFmtId="0" fontId="7" fillId="0" borderId="18" xfId="7" applyNumberFormat="1" applyFont="1" applyBorder="1">
      <alignment vertical="center"/>
    </xf>
    <xf numFmtId="0" fontId="8" fillId="0" borderId="18" xfId="7" applyNumberFormat="1" applyFont="1" applyBorder="1" applyAlignment="1">
      <alignment horizontal="center" vertical="center"/>
    </xf>
    <xf numFmtId="0" fontId="7" fillId="0" borderId="18" xfId="7" applyNumberFormat="1" applyFont="1" applyBorder="1" applyAlignment="1">
      <alignment horizontal="center" vertical="center"/>
    </xf>
    <xf numFmtId="0" fontId="7" fillId="0" borderId="18" xfId="7" quotePrefix="1" applyNumberFormat="1" applyFont="1" applyBorder="1" applyAlignment="1">
      <alignment horizontal="center" vertical="center"/>
    </xf>
    <xf numFmtId="0" fontId="7" fillId="0" borderId="35" xfId="7" applyNumberFormat="1" applyFont="1" applyBorder="1">
      <alignment vertical="center"/>
    </xf>
    <xf numFmtId="0" fontId="7" fillId="0" borderId="13" xfId="0" applyNumberFormat="1" applyFont="1" applyFill="1" applyBorder="1" applyAlignment="1">
      <alignment horizontal="center" vertical="center" shrinkToFit="1"/>
    </xf>
    <xf numFmtId="0" fontId="7" fillId="0" borderId="0" xfId="7" applyNumberFormat="1" applyFont="1" applyBorder="1">
      <alignment vertical="center"/>
    </xf>
    <xf numFmtId="0" fontId="8" fillId="0" borderId="0" xfId="7" applyNumberFormat="1" applyFont="1" applyBorder="1" applyAlignment="1">
      <alignment horizontal="center" vertical="center"/>
    </xf>
    <xf numFmtId="0" fontId="7" fillId="0" borderId="0" xfId="7" applyNumberFormat="1" applyFont="1" applyBorder="1" applyAlignment="1">
      <alignment horizontal="center" vertical="center"/>
    </xf>
    <xf numFmtId="0" fontId="7" fillId="0" borderId="0" xfId="7" quotePrefix="1" applyNumberFormat="1" applyFont="1" applyBorder="1" applyAlignment="1">
      <alignment horizontal="center" vertical="center"/>
    </xf>
    <xf numFmtId="0" fontId="7" fillId="0" borderId="32" xfId="7" applyNumberFormat="1" applyFont="1" applyBorder="1">
      <alignment vertical="center"/>
    </xf>
    <xf numFmtId="0" fontId="7" fillId="0" borderId="19" xfId="0" applyNumberFormat="1" applyFont="1" applyFill="1" applyBorder="1" applyAlignment="1">
      <alignment horizontal="center" vertical="center"/>
    </xf>
    <xf numFmtId="41" fontId="10" fillId="0" borderId="48" xfId="2" applyNumberFormat="1" applyFont="1" applyBorder="1">
      <alignment vertical="center"/>
    </xf>
    <xf numFmtId="41" fontId="10" fillId="2" borderId="48" xfId="2" applyNumberFormat="1" applyFont="1" applyFill="1" applyBorder="1" applyAlignment="1">
      <alignment horizontal="center" vertical="center"/>
    </xf>
    <xf numFmtId="0" fontId="7" fillId="0" borderId="31" xfId="7" applyNumberFormat="1" applyFont="1" applyBorder="1" applyAlignment="1">
      <alignment horizontal="left" vertical="center"/>
    </xf>
    <xf numFmtId="0" fontId="7" fillId="0" borderId="28" xfId="7" applyNumberFormat="1" applyFont="1" applyBorder="1">
      <alignment vertical="center"/>
    </xf>
    <xf numFmtId="0" fontId="8" fillId="0" borderId="28" xfId="7" applyNumberFormat="1" applyFont="1" applyBorder="1" applyAlignment="1">
      <alignment horizontal="center" vertical="center"/>
    </xf>
    <xf numFmtId="0" fontId="7" fillId="0" borderId="28" xfId="7" applyNumberFormat="1" applyFont="1" applyBorder="1" applyAlignment="1">
      <alignment horizontal="center" vertical="center"/>
    </xf>
    <xf numFmtId="0" fontId="7" fillId="0" borderId="28" xfId="7" quotePrefix="1" applyNumberFormat="1" applyFont="1" applyBorder="1" applyAlignment="1">
      <alignment horizontal="center" vertical="center"/>
    </xf>
    <xf numFmtId="0" fontId="7" fillId="0" borderId="24" xfId="7" applyNumberFormat="1" applyFont="1" applyBorder="1">
      <alignment vertical="center"/>
    </xf>
    <xf numFmtId="0" fontId="7" fillId="0" borderId="19" xfId="0" applyNumberFormat="1" applyFont="1" applyFill="1" applyBorder="1" applyAlignment="1">
      <alignment horizontal="center" vertical="center" shrinkToFit="1"/>
    </xf>
    <xf numFmtId="0" fontId="7" fillId="0" borderId="17" xfId="0" applyNumberFormat="1" applyFont="1" applyFill="1" applyBorder="1" applyAlignment="1">
      <alignment horizontal="center" vertical="center"/>
    </xf>
    <xf numFmtId="41" fontId="10" fillId="2" borderId="56" xfId="2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center" vertical="center"/>
    </xf>
    <xf numFmtId="41" fontId="10" fillId="2" borderId="27" xfId="2" applyNumberFormat="1" applyFont="1" applyFill="1" applyBorder="1" applyAlignment="1">
      <alignment horizontal="center" vertical="center"/>
    </xf>
    <xf numFmtId="0" fontId="7" fillId="0" borderId="17" xfId="0" applyNumberFormat="1" applyFont="1" applyFill="1" applyBorder="1" applyAlignment="1">
      <alignment horizontal="center" vertical="center" shrinkToFit="1"/>
    </xf>
    <xf numFmtId="0" fontId="14" fillId="0" borderId="13" xfId="0" applyNumberFormat="1" applyFont="1" applyFill="1" applyBorder="1" applyAlignment="1">
      <alignment horizontal="center" vertical="center"/>
    </xf>
    <xf numFmtId="0" fontId="14" fillId="0" borderId="19" xfId="0" applyNumberFormat="1" applyFont="1" applyFill="1" applyBorder="1" applyAlignment="1">
      <alignment horizontal="center" vertical="center" shrinkToFit="1"/>
    </xf>
    <xf numFmtId="0" fontId="7" fillId="0" borderId="12" xfId="7" applyNumberFormat="1" applyFont="1" applyBorder="1" applyAlignment="1">
      <alignment horizontal="left" vertical="center" shrinkToFit="1"/>
    </xf>
    <xf numFmtId="0" fontId="14" fillId="0" borderId="25" xfId="0" applyNumberFormat="1" applyFont="1" applyFill="1" applyBorder="1" applyAlignment="1">
      <alignment horizontal="center" vertical="center" shrinkToFit="1"/>
    </xf>
    <xf numFmtId="0" fontId="7" fillId="0" borderId="25" xfId="0" applyNumberFormat="1" applyFont="1" applyFill="1" applyBorder="1" applyAlignment="1">
      <alignment horizontal="center" vertical="center" shrinkToFit="1"/>
    </xf>
    <xf numFmtId="41" fontId="16" fillId="0" borderId="62" xfId="2" applyNumberFormat="1" applyFont="1" applyFill="1" applyBorder="1" applyAlignment="1">
      <alignment vertical="center" wrapText="1"/>
    </xf>
    <xf numFmtId="41" fontId="16" fillId="0" borderId="56" xfId="2" applyNumberFormat="1" applyFont="1" applyFill="1" applyBorder="1" applyAlignment="1">
      <alignment vertical="center" wrapText="1"/>
    </xf>
    <xf numFmtId="178" fontId="16" fillId="0" borderId="56" xfId="2" applyNumberFormat="1" applyFont="1" applyBorder="1" applyAlignment="1">
      <alignment horizontal="right" vertical="center" wrapText="1"/>
    </xf>
    <xf numFmtId="179" fontId="16" fillId="0" borderId="56" xfId="2" applyNumberFormat="1" applyFont="1" applyBorder="1" applyAlignment="1">
      <alignment vertical="center" wrapText="1"/>
    </xf>
    <xf numFmtId="41" fontId="10" fillId="0" borderId="56" xfId="2" applyNumberFormat="1" applyFont="1" applyFill="1" applyBorder="1" applyAlignment="1">
      <alignment vertical="center"/>
    </xf>
    <xf numFmtId="0" fontId="7" fillId="0" borderId="12" xfId="0" applyNumberFormat="1" applyFont="1" applyBorder="1" applyAlignment="1">
      <alignment vertical="center" wrapText="1"/>
    </xf>
    <xf numFmtId="41" fontId="10" fillId="0" borderId="27" xfId="2" applyNumberFormat="1" applyFont="1" applyFill="1" applyBorder="1" applyAlignment="1">
      <alignment vertical="center"/>
    </xf>
    <xf numFmtId="0" fontId="7" fillId="0" borderId="23" xfId="0" applyNumberFormat="1" applyFont="1" applyBorder="1" applyAlignment="1">
      <alignment vertical="center" wrapText="1"/>
    </xf>
    <xf numFmtId="0" fontId="7" fillId="0" borderId="33" xfId="0" applyNumberFormat="1" applyFont="1" applyBorder="1" applyAlignment="1">
      <alignment vertical="center" wrapText="1"/>
    </xf>
    <xf numFmtId="41" fontId="7" fillId="0" borderId="28" xfId="2" applyNumberFormat="1" applyFont="1" applyBorder="1" applyAlignment="1">
      <alignment vertical="center" shrinkToFit="1"/>
    </xf>
    <xf numFmtId="41" fontId="10" fillId="0" borderId="35" xfId="2" applyNumberFormat="1" applyFont="1" applyFill="1" applyBorder="1" applyAlignment="1">
      <alignment vertical="center"/>
    </xf>
    <xf numFmtId="41" fontId="10" fillId="0" borderId="11" xfId="2" applyNumberFormat="1" applyFont="1" applyBorder="1" applyAlignment="1">
      <alignment horizontal="center" vertical="center"/>
    </xf>
    <xf numFmtId="41" fontId="10" fillId="0" borderId="30" xfId="2" applyNumberFormat="1" applyFont="1" applyFill="1" applyBorder="1" applyAlignment="1">
      <alignment vertical="center"/>
    </xf>
    <xf numFmtId="41" fontId="10" fillId="0" borderId="0" xfId="2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41" fontId="10" fillId="0" borderId="0" xfId="2" applyNumberFormat="1" applyFont="1" applyFill="1" applyBorder="1" applyAlignment="1">
      <alignment horizontal="center" vertical="center"/>
    </xf>
    <xf numFmtId="178" fontId="10" fillId="0" borderId="0" xfId="2" applyNumberFormat="1" applyFont="1" applyBorder="1" applyAlignment="1">
      <alignment horizontal="right" vertical="center"/>
    </xf>
    <xf numFmtId="179" fontId="10" fillId="0" borderId="0" xfId="2" applyNumberFormat="1" applyFont="1" applyBorder="1" applyAlignment="1">
      <alignment vertical="center"/>
    </xf>
    <xf numFmtId="41" fontId="10" fillId="0" borderId="0" xfId="0" applyNumberFormat="1" applyFont="1" applyBorder="1" applyAlignment="1">
      <alignment horizontal="left" vertical="center"/>
    </xf>
    <xf numFmtId="43" fontId="7" fillId="0" borderId="0" xfId="0" applyNumberFormat="1" applyFont="1" applyBorder="1" applyAlignment="1">
      <alignment horizontal="left" vertical="center"/>
    </xf>
    <xf numFmtId="41" fontId="14" fillId="0" borderId="0" xfId="0" applyNumberFormat="1" applyFont="1" applyAlignment="1">
      <alignment horizontal="left" vertical="center"/>
    </xf>
    <xf numFmtId="0" fontId="10" fillId="0" borderId="12" xfId="0" applyNumberFormat="1" applyFont="1" applyBorder="1" applyAlignment="1">
      <alignment horizontal="center" vertical="center"/>
    </xf>
    <xf numFmtId="0" fontId="7" fillId="0" borderId="33" xfId="0" applyNumberFormat="1" applyFont="1" applyFill="1" applyBorder="1" applyAlignment="1">
      <alignment horizontal="left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0" fontId="7" fillId="0" borderId="14" xfId="0" quotePrefix="1" applyNumberFormat="1" applyFont="1" applyFill="1" applyBorder="1" applyAlignment="1">
      <alignment horizontal="left" vertical="center" shrinkToFit="1"/>
    </xf>
    <xf numFmtId="0" fontId="7" fillId="0" borderId="23" xfId="0" applyNumberFormat="1" applyFont="1" applyBorder="1" applyAlignment="1">
      <alignment horizontal="left" vertical="center" shrinkToFit="1"/>
    </xf>
    <xf numFmtId="0" fontId="16" fillId="0" borderId="20" xfId="0" applyNumberFormat="1" applyFont="1" applyBorder="1" applyAlignment="1">
      <alignment horizontal="center" vertical="center"/>
    </xf>
    <xf numFmtId="0" fontId="16" fillId="0" borderId="7" xfId="0" applyNumberFormat="1" applyFont="1" applyBorder="1" applyAlignment="1">
      <alignment horizontal="center" vertical="center"/>
    </xf>
    <xf numFmtId="0" fontId="7" fillId="0" borderId="28" xfId="0" applyNumberFormat="1" applyFont="1" applyFill="1" applyBorder="1" applyAlignment="1">
      <alignment horizontal="center" vertical="center" shrinkToFit="1"/>
    </xf>
    <xf numFmtId="0" fontId="7" fillId="0" borderId="12" xfId="0" applyNumberFormat="1" applyFont="1" applyFill="1" applyBorder="1" applyAlignment="1">
      <alignment horizontal="left" vertical="center" wrapText="1"/>
    </xf>
    <xf numFmtId="0" fontId="7" fillId="0" borderId="4" xfId="0" applyNumberFormat="1" applyFont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0" fontId="7" fillId="3" borderId="23" xfId="0" applyNumberFormat="1" applyFont="1" applyFill="1" applyBorder="1" applyAlignment="1">
      <alignment horizontal="left" vertical="center"/>
    </xf>
    <xf numFmtId="41" fontId="7" fillId="3" borderId="0" xfId="4" applyNumberFormat="1" applyFont="1" applyFill="1" applyBorder="1">
      <alignment vertical="center"/>
    </xf>
    <xf numFmtId="0" fontId="7" fillId="3" borderId="0" xfId="0" applyNumberFormat="1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0" fontId="7" fillId="3" borderId="0" xfId="0" quotePrefix="1" applyNumberFormat="1" applyFont="1" applyFill="1" applyBorder="1" applyAlignment="1">
      <alignment horizontal="center" vertical="center"/>
    </xf>
    <xf numFmtId="0" fontId="7" fillId="3" borderId="32" xfId="0" applyNumberFormat="1" applyFont="1" applyFill="1" applyBorder="1">
      <alignment vertical="center"/>
    </xf>
    <xf numFmtId="0" fontId="7" fillId="0" borderId="33" xfId="0" applyNumberFormat="1" applyFont="1" applyBorder="1" applyAlignment="1">
      <alignment horizontal="left" vertical="center"/>
    </xf>
    <xf numFmtId="41" fontId="7" fillId="0" borderId="34" xfId="4" applyNumberFormat="1" applyFont="1" applyBorder="1">
      <alignment vertical="center"/>
    </xf>
    <xf numFmtId="178" fontId="7" fillId="0" borderId="0" xfId="2" applyNumberFormat="1" applyFont="1" applyBorder="1">
      <alignment vertical="center"/>
    </xf>
    <xf numFmtId="3" fontId="7" fillId="0" borderId="0" xfId="0" applyNumberFormat="1" applyFont="1" applyBorder="1">
      <alignment vertical="center"/>
    </xf>
    <xf numFmtId="0" fontId="7" fillId="0" borderId="28" xfId="0" applyNumberFormat="1" applyFont="1" applyFill="1" applyBorder="1" applyAlignment="1">
      <alignment horizontal="left" vertical="center"/>
    </xf>
    <xf numFmtId="178" fontId="7" fillId="0" borderId="28" xfId="4" applyNumberFormat="1" applyFont="1" applyBorder="1">
      <alignment vertical="center"/>
    </xf>
    <xf numFmtId="0" fontId="7" fillId="0" borderId="0" xfId="0" applyNumberFormat="1" applyFont="1" applyBorder="1" applyAlignment="1">
      <alignment horizontal="left" vertical="top" wrapText="1"/>
    </xf>
    <xf numFmtId="0" fontId="16" fillId="0" borderId="3" xfId="0" applyNumberFormat="1" applyFont="1" applyFill="1" applyBorder="1" applyAlignment="1">
      <alignment horizontal="center" vertical="center" shrinkToFit="1"/>
    </xf>
    <xf numFmtId="0" fontId="16" fillId="0" borderId="23" xfId="0" applyNumberFormat="1" applyFont="1" applyBorder="1" applyAlignment="1">
      <alignment horizontal="center" vertical="center" shrinkToFit="1"/>
    </xf>
    <xf numFmtId="178" fontId="16" fillId="0" borderId="56" xfId="2" applyNumberFormat="1" applyFont="1" applyFill="1" applyBorder="1" applyAlignment="1">
      <alignment vertical="center" wrapText="1"/>
    </xf>
    <xf numFmtId="0" fontId="15" fillId="0" borderId="3" xfId="0" applyNumberFormat="1" applyFont="1" applyBorder="1" applyAlignment="1">
      <alignment vertical="center" shrinkToFit="1"/>
    </xf>
    <xf numFmtId="0" fontId="15" fillId="0" borderId="5" xfId="0" applyNumberFormat="1" applyFont="1" applyBorder="1" applyAlignment="1">
      <alignment vertical="center" shrinkToFit="1"/>
    </xf>
    <xf numFmtId="0" fontId="10" fillId="0" borderId="36" xfId="0" applyNumberFormat="1" applyFont="1" applyBorder="1" applyAlignment="1">
      <alignment horizontal="center" vertical="center"/>
    </xf>
    <xf numFmtId="0" fontId="10" fillId="0" borderId="23" xfId="0" applyNumberFormat="1" applyFont="1" applyBorder="1" applyAlignment="1">
      <alignment horizontal="center" vertical="center"/>
    </xf>
    <xf numFmtId="0" fontId="7" fillId="0" borderId="18" xfId="0" applyNumberFormat="1" applyFont="1" applyBorder="1" applyAlignment="1">
      <alignment horizontal="center" vertical="center"/>
    </xf>
    <xf numFmtId="0" fontId="16" fillId="0" borderId="5" xfId="0" applyNumberFormat="1" applyFont="1" applyBorder="1" applyAlignment="1">
      <alignment horizontal="center" vertical="center"/>
    </xf>
    <xf numFmtId="0" fontId="16" fillId="0" borderId="23" xfId="0" applyNumberFormat="1" applyFont="1" applyBorder="1" applyAlignment="1">
      <alignment horizontal="center" vertical="center"/>
    </xf>
    <xf numFmtId="180" fontId="10" fillId="0" borderId="3" xfId="2" applyNumberFormat="1" applyFont="1" applyBorder="1" applyAlignment="1">
      <alignment horizontal="right" vertical="center"/>
    </xf>
    <xf numFmtId="0" fontId="10" fillId="0" borderId="33" xfId="0" applyNumberFormat="1" applyFont="1" applyBorder="1" applyAlignment="1">
      <alignment horizontal="center" vertical="center"/>
    </xf>
    <xf numFmtId="41" fontId="10" fillId="0" borderId="3" xfId="2" applyNumberFormat="1" applyFont="1" applyBorder="1" applyAlignment="1">
      <alignment horizontal="center" vertical="center"/>
    </xf>
    <xf numFmtId="41" fontId="10" fillId="0" borderId="5" xfId="2" applyNumberFormat="1" applyFont="1" applyBorder="1" applyAlignment="1">
      <alignment horizontal="center" vertical="center"/>
    </xf>
    <xf numFmtId="41" fontId="10" fillId="0" borderId="42" xfId="2" applyNumberFormat="1" applyFont="1" applyFill="1" applyBorder="1" applyAlignment="1">
      <alignment horizontal="center" vertical="center"/>
    </xf>
    <xf numFmtId="41" fontId="10" fillId="0" borderId="41" xfId="2" applyNumberFormat="1" applyFont="1" applyFill="1" applyBorder="1" applyAlignment="1">
      <alignment horizontal="center" vertical="center"/>
    </xf>
    <xf numFmtId="41" fontId="10" fillId="0" borderId="3" xfId="4" applyNumberFormat="1" applyFont="1" applyFill="1" applyBorder="1" applyAlignment="1">
      <alignment horizontal="center" vertical="center"/>
    </xf>
    <xf numFmtId="41" fontId="10" fillId="0" borderId="5" xfId="4" applyNumberFormat="1" applyFont="1" applyFill="1" applyBorder="1" applyAlignment="1">
      <alignment horizontal="center" vertical="center"/>
    </xf>
    <xf numFmtId="41" fontId="10" fillId="0" borderId="7" xfId="4" applyNumberFormat="1" applyFont="1" applyFill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10" fillId="0" borderId="23" xfId="0" applyNumberFormat="1" applyFont="1" applyBorder="1" applyAlignment="1">
      <alignment horizontal="center" vertical="center" wrapText="1"/>
    </xf>
    <xf numFmtId="0" fontId="10" fillId="0" borderId="15" xfId="0" applyNumberFormat="1" applyFont="1" applyBorder="1" applyAlignment="1">
      <alignment horizontal="center" vertical="center"/>
    </xf>
    <xf numFmtId="0" fontId="7" fillId="0" borderId="34" xfId="0" applyNumberFormat="1" applyFont="1" applyBorder="1" applyAlignment="1">
      <alignment horizontal="center" vertical="center"/>
    </xf>
    <xf numFmtId="180" fontId="10" fillId="0" borderId="4" xfId="2" applyNumberFormat="1" applyFont="1" applyBorder="1" applyAlignment="1">
      <alignment horizontal="right" vertical="center"/>
    </xf>
    <xf numFmtId="41" fontId="10" fillId="0" borderId="10" xfId="4" applyNumberFormat="1" applyFont="1" applyFill="1" applyBorder="1" applyAlignment="1">
      <alignment horizontal="center" vertical="center"/>
    </xf>
    <xf numFmtId="3" fontId="10" fillId="0" borderId="7" xfId="2" applyNumberFormat="1" applyFont="1" applyFill="1" applyBorder="1" applyAlignment="1">
      <alignment horizontal="right" vertical="center"/>
    </xf>
    <xf numFmtId="180" fontId="10" fillId="0" borderId="7" xfId="2" applyNumberFormat="1" applyFont="1" applyBorder="1" applyAlignment="1">
      <alignment horizontal="right" vertical="center"/>
    </xf>
    <xf numFmtId="0" fontId="7" fillId="0" borderId="18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left" vertical="center"/>
    </xf>
    <xf numFmtId="41" fontId="10" fillId="0" borderId="56" xfId="2" applyNumberFormat="1" applyFont="1" applyFill="1" applyBorder="1" applyAlignment="1">
      <alignment horizontal="center" vertical="center"/>
    </xf>
    <xf numFmtId="179" fontId="10" fillId="0" borderId="56" xfId="4" applyNumberFormat="1" applyFont="1" applyBorder="1" applyAlignment="1">
      <alignment vertical="center"/>
    </xf>
    <xf numFmtId="178" fontId="10" fillId="0" borderId="56" xfId="2" applyNumberFormat="1" applyFont="1" applyBorder="1" applyAlignment="1">
      <alignment horizontal="right" vertical="center"/>
    </xf>
    <xf numFmtId="178" fontId="10" fillId="0" borderId="27" xfId="2" applyNumberFormat="1" applyFont="1" applyBorder="1" applyAlignment="1">
      <alignment horizontal="right" vertical="center"/>
    </xf>
    <xf numFmtId="178" fontId="10" fillId="0" borderId="48" xfId="2" applyNumberFormat="1" applyFont="1" applyBorder="1" applyAlignment="1">
      <alignment horizontal="right" vertical="center"/>
    </xf>
    <xf numFmtId="41" fontId="10" fillId="0" borderId="56" xfId="2" applyNumberFormat="1" applyFont="1" applyBorder="1" applyAlignment="1">
      <alignment horizontal="center" vertical="center"/>
    </xf>
    <xf numFmtId="41" fontId="10" fillId="0" borderId="27" xfId="2" applyNumberFormat="1" applyFont="1" applyBorder="1" applyAlignment="1">
      <alignment horizontal="center" vertical="center"/>
    </xf>
    <xf numFmtId="41" fontId="10" fillId="2" borderId="56" xfId="4" applyNumberFormat="1" applyFont="1" applyFill="1" applyBorder="1" applyAlignment="1">
      <alignment horizontal="center" vertical="center"/>
    </xf>
    <xf numFmtId="41" fontId="10" fillId="2" borderId="48" xfId="4" applyNumberFormat="1" applyFont="1" applyFill="1" applyBorder="1" applyAlignment="1">
      <alignment horizontal="center" vertical="center"/>
    </xf>
    <xf numFmtId="41" fontId="10" fillId="2" borderId="27" xfId="4" applyNumberFormat="1" applyFont="1" applyFill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 wrapText="1"/>
    </xf>
    <xf numFmtId="178" fontId="10" fillId="0" borderId="56" xfId="4" applyNumberFormat="1" applyFont="1" applyBorder="1" applyAlignment="1">
      <alignment horizontal="right" vertical="center"/>
    </xf>
    <xf numFmtId="178" fontId="10" fillId="0" borderId="27" xfId="4" applyNumberFormat="1" applyFont="1" applyBorder="1" applyAlignment="1">
      <alignment horizontal="right" vertical="center"/>
    </xf>
    <xf numFmtId="179" fontId="10" fillId="0" borderId="56" xfId="2" applyNumberFormat="1" applyFont="1" applyBorder="1" applyAlignment="1">
      <alignment vertical="center"/>
    </xf>
    <xf numFmtId="179" fontId="10" fillId="0" borderId="27" xfId="2" applyNumberFormat="1" applyFont="1" applyBorder="1" applyAlignment="1">
      <alignment vertical="center"/>
    </xf>
    <xf numFmtId="179" fontId="10" fillId="0" borderId="48" xfId="2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41" fontId="10" fillId="2" borderId="62" xfId="4" applyNumberFormat="1" applyFont="1" applyFill="1" applyBorder="1" applyAlignment="1">
      <alignment horizontal="center" vertical="center"/>
    </xf>
    <xf numFmtId="41" fontId="10" fillId="0" borderId="27" xfId="2" applyNumberFormat="1" applyFont="1" applyFill="1" applyBorder="1" applyAlignment="1">
      <alignment horizontal="center" vertical="center"/>
    </xf>
    <xf numFmtId="41" fontId="10" fillId="0" borderId="48" xfId="2" applyNumberFormat="1" applyFont="1" applyFill="1" applyBorder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41" fontId="10" fillId="0" borderId="56" xfId="4" applyNumberFormat="1" applyFont="1" applyFill="1" applyBorder="1" applyAlignment="1">
      <alignment horizontal="center" vertical="center"/>
    </xf>
    <xf numFmtId="41" fontId="10" fillId="0" borderId="27" xfId="4" applyNumberFormat="1" applyFont="1" applyFill="1" applyBorder="1" applyAlignment="1">
      <alignment horizontal="center" vertical="center"/>
    </xf>
    <xf numFmtId="0" fontId="7" fillId="0" borderId="57" xfId="0" applyNumberFormat="1" applyFont="1" applyBorder="1" applyAlignment="1">
      <alignment horizontal="left" vertical="center"/>
    </xf>
    <xf numFmtId="0" fontId="7" fillId="0" borderId="18" xfId="0" applyNumberFormat="1" applyFont="1" applyBorder="1" applyAlignment="1">
      <alignment horizontal="left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178" fontId="10" fillId="0" borderId="0" xfId="2" applyNumberFormat="1" applyFont="1" applyAlignment="1">
      <alignment horizontal="right" vertical="center"/>
    </xf>
    <xf numFmtId="41" fontId="10" fillId="0" borderId="62" xfId="2" applyNumberFormat="1" applyFont="1" applyBorder="1" applyAlignment="1">
      <alignment horizontal="center" vertical="center"/>
    </xf>
    <xf numFmtId="179" fontId="10" fillId="0" borderId="62" xfId="2" applyNumberFormat="1" applyFont="1" applyBorder="1" applyAlignment="1">
      <alignment vertical="center"/>
    </xf>
    <xf numFmtId="178" fontId="10" fillId="0" borderId="62" xfId="2" applyNumberFormat="1" applyFont="1" applyBorder="1" applyAlignment="1">
      <alignment horizontal="right" vertical="center"/>
    </xf>
    <xf numFmtId="41" fontId="10" fillId="0" borderId="62" xfId="2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3" fillId="0" borderId="0" xfId="2" applyNumberFormat="1" applyFont="1" applyBorder="1" applyAlignment="1">
      <alignment horizontal="left" vertical="center"/>
    </xf>
    <xf numFmtId="41" fontId="3" fillId="0" borderId="0" xfId="2" applyNumberFormat="1" applyFont="1" applyBorder="1" applyAlignment="1">
      <alignment vertical="center"/>
    </xf>
    <xf numFmtId="41" fontId="3" fillId="0" borderId="0" xfId="0" applyNumberFormat="1" applyFont="1" applyBorder="1" applyAlignment="1">
      <alignment horizontal="center" vertical="center"/>
    </xf>
    <xf numFmtId="41" fontId="3" fillId="0" borderId="0" xfId="2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11" fillId="0" borderId="14" xfId="0" applyNumberFormat="1" applyFont="1" applyBorder="1" applyAlignment="1">
      <alignment horizontal="left" vertical="center"/>
    </xf>
    <xf numFmtId="3" fontId="10" fillId="0" borderId="3" xfId="2" applyNumberFormat="1" applyFont="1" applyFill="1" applyBorder="1" applyAlignment="1">
      <alignment horizontal="right" vertical="center"/>
    </xf>
    <xf numFmtId="3" fontId="10" fillId="0" borderId="5" xfId="2" applyNumberFormat="1" applyFont="1" applyFill="1" applyBorder="1" applyAlignment="1">
      <alignment horizontal="right" vertical="center"/>
    </xf>
    <xf numFmtId="3" fontId="10" fillId="0" borderId="7" xfId="2" applyNumberFormat="1" applyFont="1" applyFill="1" applyBorder="1" applyAlignment="1">
      <alignment horizontal="right" vertical="center"/>
    </xf>
    <xf numFmtId="180" fontId="10" fillId="0" borderId="3" xfId="2" applyNumberFormat="1" applyFont="1" applyBorder="1" applyAlignment="1">
      <alignment horizontal="right" vertical="center"/>
    </xf>
    <xf numFmtId="180" fontId="10" fillId="0" borderId="5" xfId="2" applyNumberFormat="1" applyFont="1" applyBorder="1" applyAlignment="1">
      <alignment horizontal="right" vertical="center"/>
    </xf>
    <xf numFmtId="180" fontId="10" fillId="0" borderId="7" xfId="2" applyNumberFormat="1" applyFont="1" applyBorder="1" applyAlignment="1">
      <alignment horizontal="right" vertical="center"/>
    </xf>
    <xf numFmtId="0" fontId="7" fillId="0" borderId="18" xfId="0" applyNumberFormat="1" applyFont="1" applyBorder="1" applyAlignment="1">
      <alignment horizontal="center" vertical="center"/>
    </xf>
    <xf numFmtId="0" fontId="10" fillId="0" borderId="36" xfId="0" applyNumberFormat="1" applyFont="1" applyBorder="1" applyAlignment="1">
      <alignment horizontal="center" vertical="center" wrapText="1"/>
    </xf>
    <xf numFmtId="0" fontId="10" fillId="0" borderId="23" xfId="0" applyNumberFormat="1" applyFont="1" applyBorder="1" applyAlignment="1">
      <alignment horizontal="center" vertical="center" wrapText="1"/>
    </xf>
    <xf numFmtId="0" fontId="10" fillId="0" borderId="33" xfId="0" applyNumberFormat="1" applyFont="1" applyBorder="1" applyAlignment="1">
      <alignment horizontal="center" vertical="center" wrapText="1"/>
    </xf>
    <xf numFmtId="41" fontId="10" fillId="0" borderId="3" xfId="2" applyNumberFormat="1" applyFont="1" applyBorder="1" applyAlignment="1">
      <alignment horizontal="center" vertical="center"/>
    </xf>
    <xf numFmtId="41" fontId="10" fillId="0" borderId="5" xfId="2" applyNumberFormat="1" applyFont="1" applyBorder="1" applyAlignment="1">
      <alignment horizontal="center" vertical="center"/>
    </xf>
    <xf numFmtId="41" fontId="10" fillId="0" borderId="7" xfId="2" applyNumberFormat="1" applyFont="1" applyBorder="1" applyAlignment="1">
      <alignment horizontal="center" vertical="center"/>
    </xf>
    <xf numFmtId="41" fontId="10" fillId="0" borderId="42" xfId="2" applyNumberFormat="1" applyFont="1" applyFill="1" applyBorder="1" applyAlignment="1">
      <alignment horizontal="center" vertical="center"/>
    </xf>
    <xf numFmtId="41" fontId="10" fillId="0" borderId="41" xfId="2" applyNumberFormat="1" applyFont="1" applyFill="1" applyBorder="1" applyAlignment="1">
      <alignment horizontal="center" vertical="center"/>
    </xf>
    <xf numFmtId="41" fontId="10" fillId="0" borderId="43" xfId="2" applyNumberFormat="1" applyFont="1" applyFill="1" applyBorder="1" applyAlignment="1">
      <alignment horizontal="center" vertical="center"/>
    </xf>
    <xf numFmtId="41" fontId="10" fillId="0" borderId="3" xfId="4" applyNumberFormat="1" applyFont="1" applyFill="1" applyBorder="1" applyAlignment="1">
      <alignment horizontal="center" vertical="center"/>
    </xf>
    <xf numFmtId="41" fontId="10" fillId="0" borderId="5" xfId="4" applyNumberFormat="1" applyFont="1" applyFill="1" applyBorder="1" applyAlignment="1">
      <alignment horizontal="center" vertical="center"/>
    </xf>
    <xf numFmtId="41" fontId="10" fillId="0" borderId="7" xfId="4" applyNumberFormat="1" applyFont="1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/>
    </xf>
    <xf numFmtId="3" fontId="10" fillId="0" borderId="10" xfId="2" applyNumberFormat="1" applyFont="1" applyFill="1" applyBorder="1" applyAlignment="1">
      <alignment horizontal="right" vertical="center"/>
    </xf>
    <xf numFmtId="180" fontId="10" fillId="0" borderId="10" xfId="2" applyNumberFormat="1" applyFont="1" applyBorder="1" applyAlignment="1">
      <alignment horizontal="right" vertical="center"/>
    </xf>
    <xf numFmtId="179" fontId="10" fillId="0" borderId="3" xfId="2" applyNumberFormat="1" applyFont="1" applyBorder="1" applyAlignment="1">
      <alignment horizontal="right" vertical="center"/>
    </xf>
    <xf numFmtId="179" fontId="10" fillId="0" borderId="5" xfId="2" applyNumberFormat="1" applyFont="1" applyBorder="1" applyAlignment="1">
      <alignment horizontal="right" vertical="center"/>
    </xf>
    <xf numFmtId="179" fontId="10" fillId="0" borderId="7" xfId="2" applyNumberFormat="1" applyFont="1" applyBorder="1" applyAlignment="1">
      <alignment horizontal="right" vertical="center"/>
    </xf>
    <xf numFmtId="0" fontId="10" fillId="0" borderId="36" xfId="0" applyNumberFormat="1" applyFont="1" applyBorder="1" applyAlignment="1">
      <alignment horizontal="center" vertical="center"/>
    </xf>
    <xf numFmtId="0" fontId="10" fillId="0" borderId="23" xfId="0" applyNumberFormat="1" applyFont="1" applyBorder="1" applyAlignment="1">
      <alignment horizontal="center" vertical="center"/>
    </xf>
    <xf numFmtId="0" fontId="10" fillId="0" borderId="33" xfId="0" applyNumberFormat="1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/>
    </xf>
    <xf numFmtId="0" fontId="16" fillId="0" borderId="15" xfId="0" applyNumberFormat="1" applyFont="1" applyBorder="1" applyAlignment="1">
      <alignment horizontal="center" vertical="center"/>
    </xf>
    <xf numFmtId="0" fontId="10" fillId="0" borderId="29" xfId="0" applyNumberFormat="1" applyFont="1" applyBorder="1" applyAlignment="1">
      <alignment horizontal="center" vertical="center"/>
    </xf>
    <xf numFmtId="41" fontId="10" fillId="0" borderId="10" xfId="2" applyNumberFormat="1" applyFont="1" applyBorder="1" applyAlignment="1">
      <alignment horizontal="center" vertical="center"/>
    </xf>
    <xf numFmtId="0" fontId="10" fillId="0" borderId="15" xfId="0" applyNumberFormat="1" applyFont="1" applyBorder="1" applyAlignment="1">
      <alignment horizontal="center" vertical="center" wrapText="1"/>
    </xf>
    <xf numFmtId="0" fontId="10" fillId="0" borderId="15" xfId="0" applyNumberFormat="1" applyFont="1" applyBorder="1" applyAlignment="1">
      <alignment horizontal="center" vertical="center"/>
    </xf>
    <xf numFmtId="0" fontId="7" fillId="0" borderId="34" xfId="0" applyNumberFormat="1" applyFont="1" applyBorder="1" applyAlignment="1">
      <alignment horizontal="center" vertical="center"/>
    </xf>
    <xf numFmtId="180" fontId="10" fillId="0" borderId="4" xfId="2" applyNumberFormat="1" applyFont="1" applyBorder="1" applyAlignment="1">
      <alignment horizontal="right" vertical="center"/>
    </xf>
    <xf numFmtId="180" fontId="10" fillId="0" borderId="6" xfId="2" applyNumberFormat="1" applyFont="1" applyBorder="1" applyAlignment="1">
      <alignment horizontal="right" vertical="center"/>
    </xf>
    <xf numFmtId="0" fontId="16" fillId="0" borderId="34" xfId="0" applyNumberFormat="1" applyFont="1" applyBorder="1" applyAlignment="1">
      <alignment horizontal="center" vertical="center"/>
    </xf>
    <xf numFmtId="41" fontId="10" fillId="0" borderId="10" xfId="4" applyNumberFormat="1" applyFont="1" applyFill="1" applyBorder="1" applyAlignment="1">
      <alignment horizontal="center" vertical="center"/>
    </xf>
    <xf numFmtId="41" fontId="10" fillId="0" borderId="71" xfId="2" applyNumberFormat="1" applyFont="1" applyFill="1" applyBorder="1" applyAlignment="1">
      <alignment horizontal="center" vertical="center"/>
    </xf>
    <xf numFmtId="0" fontId="10" fillId="0" borderId="0" xfId="0" applyNumberFormat="1" applyFont="1" applyBorder="1" applyAlignment="1">
      <alignment horizontal="right" vertical="center"/>
    </xf>
    <xf numFmtId="41" fontId="13" fillId="0" borderId="8" xfId="2" applyNumberFormat="1" applyFont="1" applyBorder="1" applyAlignment="1">
      <alignment horizontal="center" vertical="center" wrapText="1"/>
    </xf>
    <xf numFmtId="41" fontId="13" fillId="0" borderId="10" xfId="2" applyNumberFormat="1" applyFont="1" applyBorder="1" applyAlignment="1">
      <alignment horizontal="center" vertical="center" wrapText="1"/>
    </xf>
    <xf numFmtId="178" fontId="10" fillId="0" borderId="42" xfId="2" applyNumberFormat="1" applyFont="1" applyFill="1" applyBorder="1" applyAlignment="1">
      <alignment horizontal="right" vertical="center"/>
    </xf>
    <xf numFmtId="178" fontId="10" fillId="0" borderId="41" xfId="2" applyNumberFormat="1" applyFont="1" applyFill="1" applyBorder="1" applyAlignment="1">
      <alignment horizontal="right" vertical="center"/>
    </xf>
    <xf numFmtId="178" fontId="10" fillId="0" borderId="71" xfId="2" applyNumberFormat="1" applyFont="1" applyFill="1" applyBorder="1" applyAlignment="1">
      <alignment horizontal="right" vertical="center"/>
    </xf>
    <xf numFmtId="0" fontId="15" fillId="0" borderId="36" xfId="0" applyNumberFormat="1" applyFont="1" applyBorder="1" applyAlignment="1">
      <alignment horizontal="center" vertical="center"/>
    </xf>
    <xf numFmtId="0" fontId="15" fillId="0" borderId="18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/>
    </xf>
    <xf numFmtId="0" fontId="13" fillId="0" borderId="11" xfId="0" applyNumberFormat="1" applyFont="1" applyBorder="1" applyAlignment="1">
      <alignment horizontal="center" vertical="center"/>
    </xf>
    <xf numFmtId="41" fontId="13" fillId="0" borderId="72" xfId="4" applyNumberFormat="1" applyFont="1" applyFill="1" applyBorder="1" applyAlignment="1">
      <alignment horizontal="center" vertical="center" wrapText="1"/>
    </xf>
    <xf numFmtId="41" fontId="13" fillId="0" borderId="71" xfId="4" applyNumberFormat="1" applyFont="1" applyFill="1" applyBorder="1" applyAlignment="1">
      <alignment horizontal="center" vertical="center" wrapText="1"/>
    </xf>
    <xf numFmtId="0" fontId="13" fillId="0" borderId="8" xfId="0" applyNumberFormat="1" applyFont="1" applyBorder="1" applyAlignment="1">
      <alignment horizontal="center" vertical="center"/>
    </xf>
    <xf numFmtId="0" fontId="13" fillId="0" borderId="10" xfId="0" applyNumberFormat="1" applyFont="1" applyBorder="1" applyAlignment="1">
      <alignment horizontal="center" vertical="center"/>
    </xf>
    <xf numFmtId="41" fontId="7" fillId="0" borderId="18" xfId="0" applyNumberFormat="1" applyFont="1" applyBorder="1" applyAlignment="1">
      <alignment horizontal="center" vertical="center"/>
    </xf>
    <xf numFmtId="178" fontId="10" fillId="0" borderId="3" xfId="2" applyNumberFormat="1" applyFont="1" applyFill="1" applyBorder="1" applyAlignment="1">
      <alignment horizontal="right" vertical="center"/>
    </xf>
    <xf numFmtId="178" fontId="10" fillId="0" borderId="7" xfId="2" applyNumberFormat="1" applyFont="1" applyFill="1" applyBorder="1" applyAlignment="1">
      <alignment horizontal="right" vertical="center"/>
    </xf>
    <xf numFmtId="178" fontId="10" fillId="0" borderId="5" xfId="2" applyNumberFormat="1" applyFont="1" applyFill="1" applyBorder="1" applyAlignment="1">
      <alignment horizontal="right" vertical="center"/>
    </xf>
    <xf numFmtId="0" fontId="13" fillId="0" borderId="73" xfId="0" applyNumberFormat="1" applyFont="1" applyBorder="1" applyAlignment="1">
      <alignment horizontal="center" vertical="center"/>
    </xf>
    <xf numFmtId="0" fontId="13" fillId="0" borderId="29" xfId="0" applyNumberFormat="1" applyFont="1" applyBorder="1" applyAlignment="1">
      <alignment horizontal="center" vertical="center"/>
    </xf>
    <xf numFmtId="41" fontId="13" fillId="0" borderId="9" xfId="2" applyNumberFormat="1" applyFont="1" applyBorder="1" applyAlignment="1">
      <alignment horizontal="center" vertical="center"/>
    </xf>
    <xf numFmtId="179" fontId="10" fillId="0" borderId="3" xfId="0" applyNumberFormat="1" applyFont="1" applyBorder="1" applyAlignment="1">
      <alignment horizontal="right" vertical="center"/>
    </xf>
    <xf numFmtId="179" fontId="10" fillId="0" borderId="5" xfId="0" applyNumberFormat="1" applyFont="1" applyBorder="1" applyAlignment="1">
      <alignment horizontal="right" vertical="center"/>
    </xf>
    <xf numFmtId="179" fontId="10" fillId="0" borderId="7" xfId="0" applyNumberFormat="1" applyFont="1" applyBorder="1" applyAlignment="1">
      <alignment horizontal="right" vertical="center"/>
    </xf>
    <xf numFmtId="0" fontId="13" fillId="0" borderId="72" xfId="0" applyNumberFormat="1" applyFont="1" applyBorder="1" applyAlignment="1">
      <alignment horizontal="center" vertical="center"/>
    </xf>
    <xf numFmtId="0" fontId="13" fillId="0" borderId="69" xfId="0" applyNumberFormat="1" applyFont="1" applyBorder="1" applyAlignment="1">
      <alignment horizontal="center" vertical="center"/>
    </xf>
    <xf numFmtId="0" fontId="13" fillId="0" borderId="71" xfId="0" applyNumberFormat="1" applyFont="1" applyBorder="1" applyAlignment="1">
      <alignment horizontal="center" vertical="center"/>
    </xf>
    <xf numFmtId="0" fontId="13" fillId="0" borderId="70" xfId="0" applyNumberFormat="1" applyFont="1" applyBorder="1" applyAlignment="1">
      <alignment horizontal="center" vertical="center"/>
    </xf>
    <xf numFmtId="0" fontId="16" fillId="0" borderId="5" xfId="0" applyNumberFormat="1" applyFont="1" applyBorder="1" applyAlignment="1">
      <alignment horizontal="center" vertical="center"/>
    </xf>
    <xf numFmtId="0" fontId="16" fillId="0" borderId="23" xfId="0" applyNumberFormat="1" applyFont="1" applyBorder="1" applyAlignment="1">
      <alignment horizontal="center" vertical="center"/>
    </xf>
    <xf numFmtId="0" fontId="13" fillId="0" borderId="46" xfId="0" applyNumberFormat="1" applyFont="1" applyBorder="1" applyAlignment="1">
      <alignment horizontal="center" vertical="center"/>
    </xf>
    <xf numFmtId="0" fontId="13" fillId="0" borderId="37" xfId="0" applyNumberFormat="1" applyFont="1" applyBorder="1" applyAlignment="1">
      <alignment horizontal="center" vertical="center"/>
    </xf>
    <xf numFmtId="0" fontId="13" fillId="0" borderId="68" xfId="0" applyNumberFormat="1" applyFont="1" applyBorder="1" applyAlignment="1">
      <alignment horizontal="center" vertical="center"/>
    </xf>
    <xf numFmtId="41" fontId="10" fillId="0" borderId="56" xfId="2" applyNumberFormat="1" applyFont="1" applyFill="1" applyBorder="1" applyAlignment="1">
      <alignment horizontal="center" vertical="center"/>
    </xf>
    <xf numFmtId="41" fontId="10" fillId="0" borderId="27" xfId="2" applyNumberFormat="1" applyFont="1" applyFill="1" applyBorder="1" applyAlignment="1">
      <alignment horizontal="center" vertical="center"/>
    </xf>
    <xf numFmtId="41" fontId="10" fillId="0" borderId="56" xfId="2" applyNumberFormat="1" applyFont="1" applyBorder="1" applyAlignment="1">
      <alignment horizontal="center" vertical="center"/>
    </xf>
    <xf numFmtId="41" fontId="10" fillId="0" borderId="27" xfId="2" applyNumberFormat="1" applyFont="1" applyBorder="1" applyAlignment="1">
      <alignment horizontal="center" vertical="center"/>
    </xf>
    <xf numFmtId="41" fontId="10" fillId="0" borderId="56" xfId="4" applyNumberFormat="1" applyFont="1" applyBorder="1" applyAlignment="1">
      <alignment horizontal="center" vertical="center"/>
    </xf>
    <xf numFmtId="41" fontId="10" fillId="0" borderId="27" xfId="4" applyNumberFormat="1" applyFont="1" applyBorder="1" applyAlignment="1">
      <alignment horizontal="center" vertical="center"/>
    </xf>
    <xf numFmtId="41" fontId="10" fillId="0" borderId="48" xfId="4" applyNumberFormat="1" applyFont="1" applyBorder="1" applyAlignment="1">
      <alignment horizontal="center" vertical="center"/>
    </xf>
    <xf numFmtId="41" fontId="10" fillId="2" borderId="56" xfId="4" applyNumberFormat="1" applyFont="1" applyFill="1" applyBorder="1" applyAlignment="1">
      <alignment horizontal="center" vertical="center"/>
    </xf>
    <xf numFmtId="41" fontId="10" fillId="2" borderId="48" xfId="4" applyNumberFormat="1" applyFont="1" applyFill="1" applyBorder="1" applyAlignment="1">
      <alignment horizontal="center" vertical="center"/>
    </xf>
    <xf numFmtId="41" fontId="10" fillId="2" borderId="27" xfId="4" applyNumberFormat="1" applyFont="1" applyFill="1" applyBorder="1" applyAlignment="1">
      <alignment horizontal="center" vertical="center"/>
    </xf>
    <xf numFmtId="179" fontId="10" fillId="0" borderId="56" xfId="4" applyNumberFormat="1" applyFont="1" applyBorder="1" applyAlignment="1">
      <alignment vertical="center"/>
    </xf>
    <xf numFmtId="179" fontId="10" fillId="0" borderId="27" xfId="4" applyNumberFormat="1" applyFont="1" applyBorder="1" applyAlignment="1">
      <alignment vertical="center"/>
    </xf>
    <xf numFmtId="179" fontId="10" fillId="0" borderId="56" xfId="4" applyNumberFormat="1" applyFont="1" applyBorder="1" applyAlignment="1">
      <alignment horizontal="right" vertical="center"/>
    </xf>
    <xf numFmtId="179" fontId="10" fillId="0" borderId="48" xfId="4" applyNumberFormat="1" applyFont="1" applyBorder="1" applyAlignment="1">
      <alignment horizontal="right" vertical="center"/>
    </xf>
    <xf numFmtId="178" fontId="10" fillId="0" borderId="56" xfId="4" applyNumberFormat="1" applyFont="1" applyBorder="1" applyAlignment="1">
      <alignment horizontal="right" vertical="center"/>
    </xf>
    <xf numFmtId="178" fontId="10" fillId="0" borderId="48" xfId="4" applyNumberFormat="1" applyFont="1" applyBorder="1" applyAlignment="1">
      <alignment horizontal="right" vertical="center"/>
    </xf>
    <xf numFmtId="178" fontId="10" fillId="0" borderId="27" xfId="4" applyNumberFormat="1" applyFont="1" applyBorder="1" applyAlignment="1">
      <alignment horizontal="right" vertical="center"/>
    </xf>
    <xf numFmtId="41" fontId="10" fillId="0" borderId="56" xfId="4" applyNumberFormat="1" applyFont="1" applyFill="1" applyBorder="1" applyAlignment="1">
      <alignment horizontal="center" vertical="center"/>
    </xf>
    <xf numFmtId="41" fontId="10" fillId="0" borderId="27" xfId="4" applyNumberFormat="1" applyFont="1" applyFill="1" applyBorder="1" applyAlignment="1">
      <alignment horizontal="center" vertical="center"/>
    </xf>
    <xf numFmtId="41" fontId="10" fillId="0" borderId="48" xfId="4" applyNumberFormat="1" applyFont="1" applyFill="1" applyBorder="1" applyAlignment="1">
      <alignment horizontal="center" vertical="center"/>
    </xf>
    <xf numFmtId="179" fontId="10" fillId="0" borderId="56" xfId="4" applyNumberFormat="1" applyFont="1" applyBorder="1" applyAlignment="1">
      <alignment vertical="center" wrapText="1"/>
    </xf>
    <xf numFmtId="179" fontId="10" fillId="0" borderId="27" xfId="4" applyNumberFormat="1" applyFont="1" applyBorder="1" applyAlignment="1">
      <alignment vertical="center" wrapText="1"/>
    </xf>
    <xf numFmtId="179" fontId="10" fillId="0" borderId="48" xfId="4" applyNumberFormat="1" applyFont="1" applyBorder="1" applyAlignment="1">
      <alignment vertical="center" wrapText="1"/>
    </xf>
    <xf numFmtId="178" fontId="10" fillId="0" borderId="56" xfId="4" applyNumberFormat="1" applyFont="1" applyBorder="1" applyAlignment="1">
      <alignment horizontal="right" vertical="center" wrapText="1"/>
    </xf>
    <xf numFmtId="178" fontId="10" fillId="0" borderId="27" xfId="4" applyNumberFormat="1" applyFont="1" applyBorder="1" applyAlignment="1">
      <alignment horizontal="right" vertical="center" wrapText="1"/>
    </xf>
    <xf numFmtId="178" fontId="10" fillId="0" borderId="48" xfId="4" applyNumberFormat="1" applyFont="1" applyBorder="1" applyAlignment="1">
      <alignment horizontal="right" vertical="center" wrapText="1"/>
    </xf>
    <xf numFmtId="41" fontId="10" fillId="2" borderId="56" xfId="4" applyNumberFormat="1" applyFont="1" applyFill="1" applyBorder="1" applyAlignment="1">
      <alignment horizontal="center" vertical="center" wrapText="1"/>
    </xf>
    <xf numFmtId="41" fontId="10" fillId="2" borderId="27" xfId="4" applyNumberFormat="1" applyFont="1" applyFill="1" applyBorder="1" applyAlignment="1">
      <alignment horizontal="center" vertical="center" wrapText="1"/>
    </xf>
    <xf numFmtId="41" fontId="10" fillId="2" borderId="48" xfId="4" applyNumberFormat="1" applyFont="1" applyFill="1" applyBorder="1" applyAlignment="1">
      <alignment horizontal="center" vertical="center" wrapText="1"/>
    </xf>
    <xf numFmtId="179" fontId="10" fillId="0" borderId="48" xfId="4" applyNumberFormat="1" applyFont="1" applyBorder="1" applyAlignment="1">
      <alignment vertical="center"/>
    </xf>
    <xf numFmtId="178" fontId="10" fillId="0" borderId="56" xfId="2" applyNumberFormat="1" applyFont="1" applyBorder="1" applyAlignment="1">
      <alignment horizontal="right" vertical="center"/>
    </xf>
    <xf numFmtId="178" fontId="10" fillId="0" borderId="27" xfId="2" applyNumberFormat="1" applyFont="1" applyBorder="1" applyAlignment="1">
      <alignment horizontal="right" vertical="center"/>
    </xf>
    <xf numFmtId="179" fontId="10" fillId="0" borderId="56" xfId="2" applyNumberFormat="1" applyFont="1" applyBorder="1" applyAlignment="1">
      <alignment vertical="center"/>
    </xf>
    <xf numFmtId="179" fontId="10" fillId="0" borderId="48" xfId="2" applyNumberFormat="1" applyFont="1" applyBorder="1" applyAlignment="1">
      <alignment vertical="center"/>
    </xf>
    <xf numFmtId="179" fontId="10" fillId="0" borderId="27" xfId="2" applyNumberFormat="1" applyFont="1" applyBorder="1" applyAlignment="1">
      <alignment vertical="center"/>
    </xf>
    <xf numFmtId="179" fontId="10" fillId="0" borderId="56" xfId="2" applyNumberFormat="1" applyFont="1" applyBorder="1" applyAlignment="1">
      <alignment horizontal="right" vertical="center"/>
    </xf>
    <xf numFmtId="179" fontId="10" fillId="0" borderId="27" xfId="2" applyNumberFormat="1" applyFont="1" applyBorder="1" applyAlignment="1">
      <alignment horizontal="right" vertical="center"/>
    </xf>
    <xf numFmtId="179" fontId="10" fillId="0" borderId="48" xfId="2" applyNumberFormat="1" applyFont="1" applyBorder="1" applyAlignment="1">
      <alignment horizontal="right" vertical="center"/>
    </xf>
    <xf numFmtId="178" fontId="10" fillId="0" borderId="48" xfId="2" applyNumberFormat="1" applyFont="1" applyBorder="1" applyAlignment="1">
      <alignment horizontal="right" vertical="center"/>
    </xf>
    <xf numFmtId="179" fontId="10" fillId="0" borderId="67" xfId="2" applyNumberFormat="1" applyFont="1" applyBorder="1" applyAlignment="1">
      <alignment horizontal="right" vertical="center"/>
    </xf>
    <xf numFmtId="41" fontId="10" fillId="0" borderId="48" xfId="2" applyNumberFormat="1" applyFont="1" applyFill="1" applyBorder="1" applyAlignment="1">
      <alignment horizontal="center" vertical="center"/>
    </xf>
    <xf numFmtId="41" fontId="10" fillId="0" borderId="48" xfId="2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41" fontId="10" fillId="2" borderId="62" xfId="4" applyNumberFormat="1" applyFont="1" applyFill="1" applyBorder="1" applyAlignment="1">
      <alignment horizontal="center" vertical="center"/>
    </xf>
    <xf numFmtId="41" fontId="10" fillId="2" borderId="45" xfId="4" applyNumberFormat="1" applyFont="1" applyFill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67" xfId="0" applyNumberFormat="1" applyFont="1" applyBorder="1" applyAlignment="1">
      <alignment horizontal="center" vertical="center"/>
    </xf>
    <xf numFmtId="41" fontId="10" fillId="0" borderId="62" xfId="2" applyNumberFormat="1" applyFont="1" applyBorder="1" applyAlignment="1">
      <alignment horizontal="center" vertical="center"/>
    </xf>
    <xf numFmtId="184" fontId="7" fillId="0" borderId="0" xfId="0" applyNumberFormat="1" applyFont="1" applyBorder="1" applyAlignment="1">
      <alignment horizontal="center" vertical="center"/>
    </xf>
    <xf numFmtId="10" fontId="7" fillId="0" borderId="0" xfId="0" applyNumberFormat="1" applyFont="1" applyBorder="1" applyAlignment="1">
      <alignment horizontal="center" vertical="center"/>
    </xf>
    <xf numFmtId="179" fontId="10" fillId="0" borderId="62" xfId="2" applyNumberFormat="1" applyFont="1" applyBorder="1" applyAlignment="1">
      <alignment vertical="center"/>
    </xf>
    <xf numFmtId="178" fontId="10" fillId="0" borderId="62" xfId="2" applyNumberFormat="1" applyFont="1" applyBorder="1" applyAlignment="1">
      <alignment horizontal="right" vertical="center"/>
    </xf>
    <xf numFmtId="41" fontId="10" fillId="0" borderId="62" xfId="2" applyNumberFormat="1" applyFont="1" applyFill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5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 wrapText="1"/>
    </xf>
    <xf numFmtId="0" fontId="7" fillId="0" borderId="23" xfId="0" applyNumberFormat="1" applyFont="1" applyBorder="1" applyAlignment="1">
      <alignment horizontal="center" vertical="center" wrapText="1"/>
    </xf>
    <xf numFmtId="0" fontId="7" fillId="0" borderId="33" xfId="0" applyNumberFormat="1" applyFont="1" applyBorder="1" applyAlignment="1">
      <alignment horizontal="center" vertical="center" wrapText="1"/>
    </xf>
    <xf numFmtId="41" fontId="10" fillId="0" borderId="56" xfId="4" applyNumberFormat="1" applyFont="1" applyFill="1" applyBorder="1" applyAlignment="1">
      <alignment horizontal="center" vertical="center" wrapText="1"/>
    </xf>
    <xf numFmtId="41" fontId="10" fillId="0" borderId="27" xfId="4" applyNumberFormat="1" applyFont="1" applyFill="1" applyBorder="1" applyAlignment="1">
      <alignment horizontal="center" vertical="center" wrapText="1"/>
    </xf>
    <xf numFmtId="41" fontId="10" fillId="0" borderId="48" xfId="4" applyNumberFormat="1" applyFont="1" applyFill="1" applyBorder="1" applyAlignment="1">
      <alignment horizontal="center" vertical="center" wrapText="1"/>
    </xf>
    <xf numFmtId="0" fontId="16" fillId="0" borderId="9" xfId="0" applyNumberFormat="1" applyFont="1" applyBorder="1" applyAlignment="1">
      <alignment horizontal="center" vertical="center"/>
    </xf>
    <xf numFmtId="0" fontId="16" fillId="0" borderId="66" xfId="0" applyNumberFormat="1" applyFont="1" applyBorder="1" applyAlignment="1">
      <alignment horizontal="center" vertical="center"/>
    </xf>
    <xf numFmtId="41" fontId="10" fillId="0" borderId="62" xfId="4" applyNumberFormat="1" applyFont="1" applyFill="1" applyBorder="1" applyAlignment="1">
      <alignment horizontal="center" vertical="center"/>
    </xf>
    <xf numFmtId="41" fontId="10" fillId="0" borderId="56" xfId="2" applyNumberFormat="1" applyFont="1" applyFill="1" applyBorder="1" applyAlignment="1">
      <alignment horizontal="right" vertical="center"/>
    </xf>
    <xf numFmtId="41" fontId="10" fillId="0" borderId="27" xfId="2" applyNumberFormat="1" applyFont="1" applyFill="1" applyBorder="1" applyAlignment="1">
      <alignment horizontal="right" vertical="center"/>
    </xf>
    <xf numFmtId="41" fontId="10" fillId="0" borderId="48" xfId="2" applyNumberFormat="1" applyFont="1" applyFill="1" applyBorder="1" applyAlignment="1">
      <alignment horizontal="right" vertical="center"/>
    </xf>
    <xf numFmtId="41" fontId="10" fillId="0" borderId="56" xfId="2" applyNumberFormat="1" applyFont="1" applyFill="1" applyBorder="1" applyAlignment="1">
      <alignment horizontal="center" vertical="center" wrapText="1"/>
    </xf>
    <xf numFmtId="41" fontId="10" fillId="0" borderId="27" xfId="2" applyNumberFormat="1" applyFont="1" applyFill="1" applyBorder="1" applyAlignment="1">
      <alignment horizontal="center" vertical="center" wrapText="1"/>
    </xf>
    <xf numFmtId="41" fontId="10" fillId="0" borderId="48" xfId="2" applyNumberFormat="1" applyFont="1" applyFill="1" applyBorder="1" applyAlignment="1">
      <alignment horizontal="center" vertical="center" wrapText="1"/>
    </xf>
    <xf numFmtId="0" fontId="7" fillId="0" borderId="17" xfId="0" applyNumberFormat="1" applyFont="1" applyBorder="1" applyAlignment="1">
      <alignment horizontal="center" vertical="center" wrapText="1"/>
    </xf>
    <xf numFmtId="0" fontId="7" fillId="0" borderId="70" xfId="0" applyNumberFormat="1" applyFont="1" applyBorder="1" applyAlignment="1">
      <alignment horizontal="center" vertical="center" wrapText="1"/>
    </xf>
    <xf numFmtId="0" fontId="7" fillId="0" borderId="25" xfId="0" applyNumberFormat="1" applyFont="1" applyBorder="1" applyAlignment="1">
      <alignment horizontal="center" vertical="center" wrapText="1"/>
    </xf>
    <xf numFmtId="0" fontId="7" fillId="0" borderId="19" xfId="0" applyNumberFormat="1" applyFont="1" applyBorder="1" applyAlignment="1">
      <alignment horizontal="center" vertical="center" wrapText="1"/>
    </xf>
    <xf numFmtId="178" fontId="10" fillId="0" borderId="56" xfId="2" applyNumberFormat="1" applyFont="1" applyFill="1" applyBorder="1" applyAlignment="1">
      <alignment horizontal="right" vertical="center"/>
    </xf>
    <xf numFmtId="178" fontId="10" fillId="0" borderId="67" xfId="2" applyNumberFormat="1" applyFont="1" applyFill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 wrapText="1"/>
    </xf>
    <xf numFmtId="0" fontId="10" fillId="0" borderId="27" xfId="0" applyNumberFormat="1" applyFont="1" applyFill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41" fontId="10" fillId="0" borderId="56" xfId="4" applyNumberFormat="1" applyFont="1" applyBorder="1" applyAlignment="1">
      <alignment horizontal="center" vertical="center" wrapText="1"/>
    </xf>
    <xf numFmtId="41" fontId="10" fillId="0" borderId="27" xfId="4" applyNumberFormat="1" applyFont="1" applyBorder="1" applyAlignment="1">
      <alignment horizontal="center" vertical="center" wrapText="1"/>
    </xf>
    <xf numFmtId="41" fontId="10" fillId="0" borderId="48" xfId="4" applyNumberFormat="1" applyFont="1" applyBorder="1" applyAlignment="1">
      <alignment horizontal="center" vertical="center" wrapText="1"/>
    </xf>
    <xf numFmtId="0" fontId="7" fillId="0" borderId="17" xfId="0" applyNumberFormat="1" applyFont="1" applyBorder="1" applyAlignment="1">
      <alignment horizontal="center" vertical="center" shrinkToFit="1"/>
    </xf>
    <xf numFmtId="0" fontId="7" fillId="0" borderId="25" xfId="0" applyNumberFormat="1" applyFont="1" applyBorder="1" applyAlignment="1">
      <alignment horizontal="center" vertical="center" shrinkToFit="1"/>
    </xf>
    <xf numFmtId="0" fontId="7" fillId="0" borderId="19" xfId="0" applyNumberFormat="1" applyFont="1" applyBorder="1" applyAlignment="1">
      <alignment horizontal="center" vertical="center" shrinkToFit="1"/>
    </xf>
    <xf numFmtId="178" fontId="10" fillId="0" borderId="0" xfId="2" applyNumberFormat="1" applyFont="1" applyAlignment="1">
      <alignment horizontal="right" vertical="center"/>
    </xf>
    <xf numFmtId="178" fontId="10" fillId="0" borderId="56" xfId="0" applyNumberFormat="1" applyFont="1" applyBorder="1" applyAlignment="1">
      <alignment horizontal="right" vertical="center"/>
    </xf>
    <xf numFmtId="178" fontId="10" fillId="0" borderId="27" xfId="0" applyNumberFormat="1" applyFont="1" applyBorder="1" applyAlignment="1">
      <alignment horizontal="right" vertical="center"/>
    </xf>
    <xf numFmtId="178" fontId="10" fillId="0" borderId="48" xfId="0" applyNumberFormat="1" applyFont="1" applyBorder="1" applyAlignment="1">
      <alignment horizontal="right" vertical="center"/>
    </xf>
    <xf numFmtId="0" fontId="15" fillId="0" borderId="4" xfId="0" applyNumberFormat="1" applyFont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 wrapText="1"/>
    </xf>
    <xf numFmtId="0" fontId="16" fillId="0" borderId="22" xfId="0" applyNumberFormat="1" applyFont="1" applyBorder="1" applyAlignment="1">
      <alignment horizontal="center" vertical="center"/>
    </xf>
    <xf numFmtId="178" fontId="10" fillId="0" borderId="62" xfId="4" applyNumberFormat="1" applyFont="1" applyBorder="1" applyAlignment="1">
      <alignment horizontal="right" vertical="center"/>
    </xf>
    <xf numFmtId="179" fontId="10" fillId="0" borderId="27" xfId="4" applyNumberFormat="1" applyFont="1" applyBorder="1" applyAlignment="1">
      <alignment horizontal="right" vertical="center"/>
    </xf>
    <xf numFmtId="178" fontId="10" fillId="0" borderId="63" xfId="4" applyNumberFormat="1" applyFont="1" applyBorder="1" applyAlignment="1">
      <alignment horizontal="right" vertical="center"/>
    </xf>
    <xf numFmtId="179" fontId="10" fillId="0" borderId="62" xfId="4" applyNumberFormat="1" applyFont="1" applyBorder="1" applyAlignment="1">
      <alignment vertical="center"/>
    </xf>
    <xf numFmtId="41" fontId="10" fillId="0" borderId="56" xfId="0" applyNumberFormat="1" applyFont="1" applyBorder="1" applyAlignment="1">
      <alignment horizontal="right" vertical="center"/>
    </xf>
    <xf numFmtId="0" fontId="10" fillId="0" borderId="27" xfId="0" applyNumberFormat="1" applyFont="1" applyBorder="1" applyAlignment="1">
      <alignment horizontal="right" vertical="center"/>
    </xf>
    <xf numFmtId="0" fontId="10" fillId="0" borderId="48" xfId="0" applyNumberFormat="1" applyFont="1" applyBorder="1" applyAlignment="1">
      <alignment horizontal="right" vertical="center"/>
    </xf>
    <xf numFmtId="41" fontId="10" fillId="0" borderId="62" xfId="4" applyNumberFormat="1" applyFont="1" applyBorder="1" applyAlignment="1">
      <alignment horizontal="center" vertical="center"/>
    </xf>
    <xf numFmtId="178" fontId="10" fillId="0" borderId="62" xfId="0" applyNumberFormat="1" applyFont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57" xfId="0" applyNumberFormat="1" applyFont="1" applyBorder="1" applyAlignment="1">
      <alignment horizontal="left" vertical="center"/>
    </xf>
    <xf numFmtId="0" fontId="7" fillId="0" borderId="18" xfId="0" applyNumberFormat="1" applyFont="1" applyBorder="1" applyAlignment="1">
      <alignment horizontal="left" vertical="center"/>
    </xf>
    <xf numFmtId="41" fontId="13" fillId="0" borderId="58" xfId="2" applyNumberFormat="1" applyFont="1" applyBorder="1" applyAlignment="1">
      <alignment horizontal="center" vertical="center"/>
    </xf>
    <xf numFmtId="41" fontId="13" fillId="2" borderId="65" xfId="4" applyNumberFormat="1" applyFont="1" applyFill="1" applyBorder="1" applyAlignment="1">
      <alignment horizontal="center" vertical="center" wrapText="1"/>
    </xf>
    <xf numFmtId="41" fontId="13" fillId="2" borderId="47" xfId="4" applyNumberFormat="1" applyFont="1" applyFill="1" applyBorder="1" applyAlignment="1">
      <alignment horizontal="center" vertical="center" wrapText="1"/>
    </xf>
    <xf numFmtId="179" fontId="10" fillId="0" borderId="57" xfId="4" applyNumberFormat="1" applyFont="1" applyBorder="1" applyAlignment="1">
      <alignment vertical="center"/>
    </xf>
    <xf numFmtId="179" fontId="10" fillId="0" borderId="12" xfId="4" applyNumberFormat="1" applyFont="1" applyBorder="1" applyAlignment="1">
      <alignment vertical="center"/>
    </xf>
    <xf numFmtId="179" fontId="10" fillId="0" borderId="31" xfId="4" applyNumberFormat="1" applyFont="1" applyBorder="1" applyAlignment="1">
      <alignment vertical="center"/>
    </xf>
    <xf numFmtId="0" fontId="11" fillId="0" borderId="0" xfId="0" applyNumberFormat="1" applyFont="1" applyBorder="1" applyAlignment="1">
      <alignment horizontal="left" vertical="center"/>
    </xf>
    <xf numFmtId="0" fontId="20" fillId="0" borderId="0" xfId="0" applyNumberFormat="1" applyFont="1" applyBorder="1" applyAlignment="1">
      <alignment horizontal="left" vertical="center"/>
    </xf>
    <xf numFmtId="0" fontId="16" fillId="0" borderId="21" xfId="0" applyNumberFormat="1" applyFont="1" applyBorder="1" applyAlignment="1">
      <alignment horizontal="center" vertical="center"/>
    </xf>
    <xf numFmtId="0" fontId="16" fillId="0" borderId="26" xfId="0" applyNumberFormat="1" applyFont="1" applyBorder="1" applyAlignment="1">
      <alignment horizontal="center" vertical="center"/>
    </xf>
    <xf numFmtId="0" fontId="7" fillId="0" borderId="36" xfId="0" applyNumberFormat="1" applyFont="1" applyBorder="1" applyAlignment="1">
      <alignment horizontal="center" vertical="center" wrapText="1" shrinkToFit="1"/>
    </xf>
    <xf numFmtId="0" fontId="7" fillId="0" borderId="23" xfId="0" applyNumberFormat="1" applyFont="1" applyBorder="1" applyAlignment="1">
      <alignment horizontal="center" vertical="center" wrapText="1" shrinkToFit="1"/>
    </xf>
    <xf numFmtId="0" fontId="7" fillId="0" borderId="33" xfId="0" applyNumberFormat="1" applyFont="1" applyBorder="1" applyAlignment="1">
      <alignment horizontal="center" vertical="center" shrinkToFit="1"/>
    </xf>
    <xf numFmtId="0" fontId="7" fillId="0" borderId="15" xfId="0" applyNumberFormat="1" applyFont="1" applyBorder="1" applyAlignment="1">
      <alignment horizontal="center" vertical="center" wrapText="1"/>
    </xf>
    <xf numFmtId="178" fontId="10" fillId="0" borderId="67" xfId="2" applyNumberFormat="1" applyFont="1" applyBorder="1" applyAlignment="1">
      <alignment horizontal="right" vertical="center"/>
    </xf>
    <xf numFmtId="179" fontId="10" fillId="0" borderId="27" xfId="0" applyNumberFormat="1" applyFont="1" applyBorder="1" applyAlignment="1">
      <alignment vertical="center"/>
    </xf>
    <xf numFmtId="41" fontId="10" fillId="0" borderId="67" xfId="2" applyNumberFormat="1" applyFont="1" applyFill="1" applyBorder="1" applyAlignment="1">
      <alignment horizontal="center" vertical="center"/>
    </xf>
    <xf numFmtId="178" fontId="10" fillId="0" borderId="27" xfId="2" applyNumberFormat="1" applyFont="1" applyFill="1" applyBorder="1" applyAlignment="1">
      <alignment horizontal="right" vertical="center"/>
    </xf>
    <xf numFmtId="178" fontId="10" fillId="0" borderId="48" xfId="2" applyNumberFormat="1" applyFont="1" applyFill="1" applyBorder="1" applyAlignment="1">
      <alignment horizontal="right" vertical="center"/>
    </xf>
    <xf numFmtId="0" fontId="16" fillId="0" borderId="3" xfId="0" applyNumberFormat="1" applyFont="1" applyBorder="1" applyAlignment="1">
      <alignment horizontal="center" vertical="top" wrapText="1"/>
    </xf>
    <xf numFmtId="0" fontId="16" fillId="0" borderId="5" xfId="0" applyNumberFormat="1" applyFont="1" applyBorder="1" applyAlignment="1">
      <alignment horizontal="center" vertical="top" wrapText="1"/>
    </xf>
    <xf numFmtId="0" fontId="16" fillId="0" borderId="10" xfId="0" applyNumberFormat="1" applyFont="1" applyBorder="1" applyAlignment="1">
      <alignment horizontal="center" vertical="top" wrapText="1"/>
    </xf>
    <xf numFmtId="0" fontId="10" fillId="0" borderId="27" xfId="0" applyNumberFormat="1" applyFont="1" applyBorder="1" applyAlignment="1">
      <alignment horizontal="center" vertical="center"/>
    </xf>
    <xf numFmtId="178" fontId="10" fillId="2" borderId="62" xfId="0" applyNumberFormat="1" applyFont="1" applyFill="1" applyBorder="1" applyAlignment="1">
      <alignment horizontal="right" vertical="center"/>
    </xf>
    <xf numFmtId="0" fontId="14" fillId="0" borderId="15" xfId="0" applyNumberFormat="1" applyFont="1" applyBorder="1" applyAlignment="1">
      <alignment vertical="center" shrinkToFit="1"/>
    </xf>
    <xf numFmtId="183" fontId="7" fillId="0" borderId="28" xfId="0" applyNumberFormat="1" applyFont="1" applyBorder="1" applyAlignment="1">
      <alignment horizontal="center" vertical="center" shrinkToFit="1"/>
    </xf>
    <xf numFmtId="0" fontId="14" fillId="0" borderId="28" xfId="0" applyNumberFormat="1" applyFont="1" applyBorder="1" applyAlignment="1">
      <alignment horizontal="left" vertical="center"/>
    </xf>
    <xf numFmtId="0" fontId="7" fillId="0" borderId="31" xfId="0" applyNumberFormat="1" applyFont="1" applyBorder="1" applyAlignment="1">
      <alignment horizontal="left" vertical="center" wrapText="1"/>
    </xf>
    <xf numFmtId="0" fontId="7" fillId="0" borderId="64" xfId="0" applyNumberFormat="1" applyFont="1" applyBorder="1" applyAlignment="1">
      <alignment horizontal="left" vertical="center" shrinkToFit="1"/>
    </xf>
    <xf numFmtId="41" fontId="7" fillId="0" borderId="14" xfId="4" applyNumberFormat="1" applyFont="1" applyBorder="1">
      <alignment vertical="center"/>
    </xf>
    <xf numFmtId="0" fontId="7" fillId="0" borderId="14" xfId="0" applyNumberFormat="1" applyFont="1" applyBorder="1">
      <alignment vertical="center"/>
    </xf>
    <xf numFmtId="41" fontId="7" fillId="0" borderId="14" xfId="0" applyNumberFormat="1" applyFont="1" applyBorder="1">
      <alignment vertical="center"/>
    </xf>
  </cellXfs>
  <cellStyles count="8">
    <cellStyle name="백분율" xfId="1" builtinId="5"/>
    <cellStyle name="백분율 2" xfId="3"/>
    <cellStyle name="쉼표 [0]" xfId="2" builtinId="6"/>
    <cellStyle name="쉼표 [0] 2" xfId="4"/>
    <cellStyle name="쉼표 [0] 7" xfId="5"/>
    <cellStyle name="표준" xfId="0" builtinId="0"/>
    <cellStyle name="표준 2" xfId="6"/>
    <cellStyle name="표준 3" xfId="7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33"/>
  <sheetViews>
    <sheetView topLeftCell="A7" zoomScaleNormal="100" zoomScaleSheetLayoutView="75" workbookViewId="0">
      <selection activeCell="O13" sqref="O13"/>
    </sheetView>
  </sheetViews>
  <sheetFormatPr defaultColWidth="9" defaultRowHeight="16.5"/>
  <cols>
    <col min="1" max="1" width="9.625" style="1" customWidth="1"/>
    <col min="2" max="2" width="6.375" style="1" customWidth="1"/>
    <col min="3" max="3" width="6" style="1" customWidth="1"/>
    <col min="4" max="4" width="11.375" style="1" customWidth="1"/>
    <col min="5" max="5" width="5.375" style="1" customWidth="1"/>
    <col min="6" max="6" width="6.125" style="1" customWidth="1"/>
    <col min="7" max="8" width="6.875" style="1" customWidth="1"/>
    <col min="9" max="9" width="16.375" style="1" customWidth="1"/>
    <col min="10" max="10" width="9.125" style="1" customWidth="1"/>
    <col min="11" max="11" width="5.125" style="1" customWidth="1"/>
    <col min="12" max="12" width="9.75" style="1" customWidth="1"/>
  </cols>
  <sheetData>
    <row r="1" spans="1:16" ht="29.25" customHeight="1"/>
    <row r="2" spans="1:16" ht="51" customHeight="1">
      <c r="A2" s="453" t="s">
        <v>466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</row>
    <row r="3" spans="1:16">
      <c r="B3" s="2"/>
    </row>
    <row r="4" spans="1:16">
      <c r="B4" s="8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6" ht="21.75" customHeight="1">
      <c r="B5" s="5" t="s">
        <v>94</v>
      </c>
      <c r="C5" s="454" t="s">
        <v>480</v>
      </c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  <c r="O5" s="454"/>
    </row>
    <row r="6" spans="1:16" ht="21.75" customHeight="1">
      <c r="B6" s="5"/>
      <c r="C6" s="455" t="s">
        <v>481</v>
      </c>
      <c r="D6" s="455"/>
      <c r="E6" s="455"/>
      <c r="F6" s="455"/>
      <c r="G6" s="455"/>
      <c r="H6" s="455"/>
      <c r="I6" s="455"/>
      <c r="J6" s="455"/>
      <c r="K6" s="455"/>
      <c r="L6" s="455"/>
      <c r="M6" s="4"/>
      <c r="N6" s="4"/>
      <c r="O6" s="4"/>
    </row>
    <row r="7" spans="1:16" ht="21.75" customHeight="1">
      <c r="B7" s="5"/>
      <c r="C7" s="454" t="s">
        <v>41</v>
      </c>
      <c r="D7" s="454"/>
      <c r="E7" s="458" t="s">
        <v>41</v>
      </c>
      <c r="F7" s="458"/>
      <c r="G7" s="454"/>
      <c r="H7" s="454"/>
      <c r="I7" s="454"/>
      <c r="J7" s="454"/>
      <c r="K7" s="454"/>
      <c r="L7" s="454"/>
      <c r="M7" s="4"/>
      <c r="N7" s="4"/>
      <c r="O7" s="4"/>
    </row>
    <row r="8" spans="1:16" ht="21.75" customHeight="1">
      <c r="B8" s="5" t="s">
        <v>0</v>
      </c>
      <c r="C8" s="6"/>
      <c r="D8" s="6"/>
      <c r="E8" s="6"/>
      <c r="F8" s="6"/>
      <c r="G8" s="6"/>
      <c r="H8" s="6"/>
      <c r="I8" s="6"/>
      <c r="J8" s="6"/>
      <c r="K8" s="6"/>
      <c r="L8" s="6"/>
      <c r="M8" s="4"/>
      <c r="N8" s="4"/>
      <c r="O8" s="4"/>
    </row>
    <row r="9" spans="1:16" ht="21.75" customHeight="1">
      <c r="B9" s="5"/>
      <c r="C9" s="5" t="s">
        <v>403</v>
      </c>
      <c r="D9" s="6"/>
      <c r="E9" s="6"/>
      <c r="F9" s="6"/>
      <c r="G9" s="6"/>
      <c r="H9" s="6"/>
      <c r="I9" s="6"/>
      <c r="J9" s="6"/>
      <c r="K9" s="6"/>
      <c r="L9" s="6"/>
      <c r="M9" s="4"/>
      <c r="N9" s="4"/>
      <c r="O9" s="4"/>
    </row>
    <row r="10" spans="1:16" ht="21.75" customHeight="1">
      <c r="B10" s="5"/>
      <c r="C10" s="5"/>
      <c r="D10" s="5" t="s">
        <v>84</v>
      </c>
      <c r="E10" s="6"/>
      <c r="F10" s="456" t="e">
        <f>#REF!</f>
        <v>#REF!</v>
      </c>
      <c r="G10" s="456"/>
      <c r="H10" s="6" t="s">
        <v>57</v>
      </c>
      <c r="I10" s="6" t="s">
        <v>151</v>
      </c>
      <c r="J10" s="456" t="e">
        <f>#REF!</f>
        <v>#REF!</v>
      </c>
      <c r="K10" s="456"/>
      <c r="L10" s="6" t="s">
        <v>57</v>
      </c>
      <c r="M10" s="4"/>
      <c r="N10" s="4"/>
      <c r="O10" s="4"/>
    </row>
    <row r="11" spans="1:16" ht="21.75" customHeight="1">
      <c r="B11" s="5"/>
      <c r="C11" s="5"/>
      <c r="D11" s="5" t="s">
        <v>187</v>
      </c>
      <c r="E11" s="6"/>
      <c r="F11" s="456" t="e">
        <f>#REF!</f>
        <v>#REF!</v>
      </c>
      <c r="G11" s="456"/>
      <c r="H11" s="6" t="s">
        <v>57</v>
      </c>
      <c r="I11" s="6" t="s">
        <v>174</v>
      </c>
      <c r="J11" s="456" t="e">
        <f>#REF!</f>
        <v>#REF!</v>
      </c>
      <c r="K11" s="456"/>
      <c r="L11" s="6" t="s">
        <v>57</v>
      </c>
      <c r="M11" s="4"/>
      <c r="N11" s="4"/>
      <c r="O11" s="4"/>
    </row>
    <row r="12" spans="1:16" ht="21.75" customHeight="1">
      <c r="B12" s="5"/>
      <c r="C12" s="5"/>
      <c r="D12" s="5" t="s">
        <v>120</v>
      </c>
      <c r="E12" s="6"/>
      <c r="F12" s="456" t="e">
        <f>#REF!</f>
        <v>#REF!</v>
      </c>
      <c r="G12" s="456"/>
      <c r="H12" s="6" t="s">
        <v>57</v>
      </c>
      <c r="I12" s="5" t="s">
        <v>214</v>
      </c>
      <c r="J12" s="457" t="e">
        <f>#REF!</f>
        <v>#REF!</v>
      </c>
      <c r="K12" s="457"/>
      <c r="L12" s="10" t="s">
        <v>57</v>
      </c>
      <c r="M12" s="6"/>
      <c r="N12" s="4"/>
      <c r="O12" s="4"/>
    </row>
    <row r="13" spans="1:16" ht="21.75" customHeight="1">
      <c r="B13" s="5"/>
      <c r="C13" s="5"/>
      <c r="D13" s="5" t="s">
        <v>464</v>
      </c>
      <c r="F13" s="456" t="e">
        <f>#REF!</f>
        <v>#REF!</v>
      </c>
      <c r="G13" s="456"/>
      <c r="H13" s="11" t="s">
        <v>57</v>
      </c>
      <c r="I13" s="11"/>
      <c r="J13" s="459"/>
      <c r="K13" s="460"/>
      <c r="L13" s="10"/>
      <c r="M13" s="4"/>
      <c r="N13" s="4"/>
      <c r="O13" s="4"/>
    </row>
    <row r="14" spans="1:16" ht="21.75" customHeight="1">
      <c r="B14" s="5"/>
      <c r="C14" s="5" t="s">
        <v>7</v>
      </c>
      <c r="D14" s="6"/>
      <c r="E14" s="6"/>
      <c r="F14" s="6"/>
      <c r="G14" s="6"/>
      <c r="H14" s="6"/>
      <c r="I14" s="6"/>
      <c r="J14" s="463"/>
      <c r="K14" s="463"/>
      <c r="L14" s="6"/>
      <c r="M14" s="4"/>
      <c r="N14" s="4"/>
      <c r="O14" s="4"/>
    </row>
    <row r="15" spans="1:16" ht="21.75" customHeight="1">
      <c r="B15" s="5"/>
      <c r="C15" s="5"/>
      <c r="D15" s="5" t="s">
        <v>156</v>
      </c>
      <c r="E15" s="6"/>
      <c r="F15" s="456" t="e">
        <f>#REF!</f>
        <v>#REF!</v>
      </c>
      <c r="G15" s="456"/>
      <c r="H15" s="6" t="s">
        <v>57</v>
      </c>
      <c r="I15" s="6" t="s">
        <v>325</v>
      </c>
      <c r="J15" s="456" t="e">
        <f>#REF!</f>
        <v>#REF!</v>
      </c>
      <c r="K15" s="456"/>
      <c r="L15" s="6" t="s">
        <v>57</v>
      </c>
      <c r="M15" s="4"/>
      <c r="N15" s="4"/>
      <c r="O15" s="4"/>
    </row>
    <row r="16" spans="1:16" ht="21.75" customHeight="1">
      <c r="B16" s="5"/>
      <c r="C16" s="5"/>
      <c r="D16" s="5" t="s">
        <v>170</v>
      </c>
      <c r="E16" s="6"/>
      <c r="F16" s="456" t="e">
        <f>#REF!</f>
        <v>#REF!</v>
      </c>
      <c r="G16" s="456"/>
      <c r="H16" s="6" t="s">
        <v>57</v>
      </c>
      <c r="I16" s="6" t="s">
        <v>329</v>
      </c>
      <c r="J16" s="456">
        <v>0</v>
      </c>
      <c r="K16" s="456"/>
      <c r="L16" s="6" t="s">
        <v>57</v>
      </c>
      <c r="M16" s="4"/>
      <c r="N16" s="4"/>
      <c r="O16" s="4"/>
    </row>
    <row r="17" spans="2:15" ht="21.75" customHeight="1">
      <c r="B17" s="5"/>
      <c r="C17" s="5"/>
      <c r="D17" s="5" t="s">
        <v>141</v>
      </c>
      <c r="E17" s="6"/>
      <c r="F17" s="456" t="e">
        <f>#REF!</f>
        <v>#REF!</v>
      </c>
      <c r="G17" s="456"/>
      <c r="H17" s="6" t="s">
        <v>57</v>
      </c>
      <c r="I17" s="6" t="s">
        <v>113</v>
      </c>
      <c r="J17" s="456">
        <v>0</v>
      </c>
      <c r="K17" s="456"/>
      <c r="L17" s="6" t="s">
        <v>57</v>
      </c>
      <c r="M17" s="4"/>
      <c r="N17" s="4"/>
      <c r="O17" s="4"/>
    </row>
    <row r="18" spans="2:15" ht="21.75" customHeight="1">
      <c r="B18" s="5"/>
      <c r="C18" s="5"/>
      <c r="D18" s="5" t="s">
        <v>327</v>
      </c>
      <c r="E18" s="6"/>
      <c r="F18" s="456" t="e">
        <f>#REF!</f>
        <v>#REF!</v>
      </c>
      <c r="G18" s="456"/>
      <c r="H18" s="6" t="s">
        <v>57</v>
      </c>
      <c r="I18" s="9" t="s">
        <v>322</v>
      </c>
      <c r="J18" s="456" t="e">
        <f>#REF!</f>
        <v>#REF!</v>
      </c>
      <c r="K18" s="456"/>
      <c r="L18" s="6" t="s">
        <v>57</v>
      </c>
      <c r="M18" s="4"/>
      <c r="N18" s="4"/>
      <c r="O18" s="4"/>
    </row>
    <row r="19" spans="2:15" ht="21.75" customHeight="1">
      <c r="B19" s="5"/>
      <c r="C19" s="5"/>
      <c r="D19" s="5"/>
      <c r="E19" s="6"/>
      <c r="F19" s="456"/>
      <c r="G19" s="456"/>
      <c r="H19" s="6"/>
      <c r="I19" s="6"/>
      <c r="J19" s="6"/>
      <c r="K19" s="6"/>
      <c r="L19" s="6"/>
      <c r="M19" s="4"/>
      <c r="N19" s="4"/>
      <c r="O19" s="4"/>
    </row>
    <row r="20" spans="2:15" ht="21.75" customHeight="1">
      <c r="B20" s="5" t="s">
        <v>143</v>
      </c>
      <c r="C20" s="6" t="s">
        <v>254</v>
      </c>
      <c r="D20" s="6"/>
      <c r="E20" s="6"/>
      <c r="F20" s="6"/>
      <c r="G20" s="6"/>
      <c r="H20" s="6"/>
      <c r="I20" s="6"/>
      <c r="J20" s="6"/>
      <c r="K20" s="6"/>
      <c r="L20" s="6"/>
      <c r="M20" s="4"/>
      <c r="N20" s="4"/>
      <c r="O20" s="4"/>
    </row>
    <row r="21" spans="2:15" ht="21.75" customHeight="1">
      <c r="B21" s="5"/>
      <c r="C21" s="6" t="s">
        <v>405</v>
      </c>
      <c r="D21" s="6"/>
      <c r="E21" s="6"/>
      <c r="F21" s="6"/>
      <c r="G21" s="6"/>
      <c r="H21" s="6"/>
      <c r="I21" s="6"/>
      <c r="J21" s="6"/>
      <c r="K21" s="6"/>
      <c r="L21" s="6"/>
      <c r="M21" s="4"/>
      <c r="N21" s="4"/>
      <c r="O21" s="4"/>
    </row>
    <row r="22" spans="2:15" ht="21.75" customHeight="1">
      <c r="B22" s="5" t="s">
        <v>41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4"/>
      <c r="N22" s="4"/>
      <c r="O22" s="4"/>
    </row>
    <row r="23" spans="2:15" ht="21.75" customHeight="1">
      <c r="B23" s="5" t="s">
        <v>188</v>
      </c>
      <c r="C23" s="6" t="s">
        <v>253</v>
      </c>
      <c r="D23" s="6"/>
      <c r="E23" s="6"/>
      <c r="F23" s="6"/>
      <c r="G23" s="6"/>
      <c r="H23" s="6"/>
      <c r="I23" s="6"/>
      <c r="J23" s="6"/>
      <c r="K23" s="6"/>
      <c r="L23" s="6"/>
      <c r="M23" s="4"/>
      <c r="N23" s="4"/>
      <c r="O23" s="4"/>
    </row>
    <row r="24" spans="2:15" ht="21.75" customHeight="1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4"/>
      <c r="N24" s="4"/>
      <c r="O24" s="4"/>
    </row>
    <row r="25" spans="2:15" ht="21.75" customHeight="1">
      <c r="B25" s="5"/>
      <c r="C25" s="6"/>
      <c r="D25" s="461"/>
      <c r="E25" s="461"/>
      <c r="F25" s="462"/>
      <c r="G25" s="462"/>
      <c r="H25" s="6"/>
      <c r="I25" s="6"/>
      <c r="J25" s="6"/>
      <c r="K25" s="6"/>
      <c r="L25" s="7"/>
    </row>
    <row r="26" spans="2:15" ht="21.75" customHeight="1">
      <c r="B26" s="5"/>
      <c r="C26" s="6" t="s">
        <v>41</v>
      </c>
      <c r="D26" s="461"/>
      <c r="E26" s="461"/>
      <c r="F26" s="462"/>
      <c r="G26" s="462"/>
      <c r="H26" s="6"/>
      <c r="I26" s="6"/>
      <c r="J26" s="6"/>
      <c r="K26" s="6"/>
      <c r="L26" s="7"/>
    </row>
    <row r="27" spans="2:15" ht="21.75" customHeight="1">
      <c r="B27" s="5"/>
      <c r="C27" s="6"/>
      <c r="D27" s="461"/>
      <c r="E27" s="461"/>
      <c r="F27" s="462"/>
      <c r="G27" s="462"/>
      <c r="H27" s="6"/>
      <c r="I27" s="6"/>
      <c r="J27" s="6"/>
      <c r="K27" s="6"/>
      <c r="L27" s="7"/>
    </row>
    <row r="28" spans="2:15" ht="21.75" customHeight="1">
      <c r="B28" s="5"/>
      <c r="C28" s="6"/>
      <c r="D28" s="6"/>
      <c r="E28" s="6"/>
      <c r="F28" s="6"/>
      <c r="G28" s="6"/>
      <c r="H28" s="6"/>
      <c r="I28" s="6"/>
      <c r="J28" s="6"/>
      <c r="K28" s="6"/>
      <c r="L28" s="7"/>
    </row>
    <row r="29" spans="2:15" ht="21.75" customHeight="1">
      <c r="B29" s="5"/>
      <c r="C29" s="6"/>
      <c r="D29" s="6"/>
      <c r="E29" s="6"/>
      <c r="F29" s="6"/>
      <c r="G29" s="6"/>
      <c r="H29" s="6"/>
      <c r="I29" s="6"/>
      <c r="J29" s="6"/>
      <c r="K29" s="6"/>
      <c r="L29" s="7"/>
    </row>
    <row r="30" spans="2:15" ht="21.75" customHeight="1">
      <c r="B30" s="5"/>
      <c r="C30" s="6"/>
      <c r="D30" s="6"/>
      <c r="E30" s="6"/>
      <c r="F30" s="6"/>
      <c r="G30" s="6"/>
      <c r="H30" s="6"/>
      <c r="I30" s="6"/>
      <c r="J30" s="6"/>
      <c r="K30" s="6"/>
      <c r="L30" s="7"/>
    </row>
    <row r="31" spans="2:15" ht="21.75" customHeight="1">
      <c r="B31" s="5"/>
      <c r="C31" s="6"/>
      <c r="D31" s="6"/>
      <c r="E31" s="6"/>
      <c r="F31" s="6"/>
      <c r="G31" s="6"/>
      <c r="H31" s="6"/>
      <c r="I31" s="6"/>
      <c r="J31" s="6"/>
      <c r="K31" s="6"/>
      <c r="L31" s="7"/>
    </row>
    <row r="32" spans="2:15" ht="21.75" customHeight="1">
      <c r="B32" s="5"/>
      <c r="C32" s="6"/>
      <c r="D32" s="6"/>
      <c r="E32" s="6"/>
      <c r="F32" s="6"/>
      <c r="G32" s="6"/>
      <c r="H32" s="6"/>
      <c r="I32" s="6"/>
      <c r="J32" s="6"/>
      <c r="K32" s="6"/>
      <c r="L32" s="7"/>
    </row>
    <row r="33" spans="2:11" ht="21.75" customHeight="1">
      <c r="B33" s="3"/>
      <c r="C33" s="4"/>
      <c r="D33" s="4"/>
      <c r="E33" s="4"/>
      <c r="F33" s="4"/>
      <c r="G33" s="4"/>
      <c r="H33" s="4"/>
      <c r="I33" s="4"/>
      <c r="J33" s="4"/>
      <c r="K33" s="4"/>
    </row>
  </sheetData>
  <mergeCells count="30">
    <mergeCell ref="J18:K18"/>
    <mergeCell ref="F27:G27"/>
    <mergeCell ref="F19:G19"/>
    <mergeCell ref="F25:G25"/>
    <mergeCell ref="J14:K14"/>
    <mergeCell ref="J15:K15"/>
    <mergeCell ref="D27:E27"/>
    <mergeCell ref="D25:E25"/>
    <mergeCell ref="D26:E26"/>
    <mergeCell ref="F10:G10"/>
    <mergeCell ref="F11:G11"/>
    <mergeCell ref="F26:G26"/>
    <mergeCell ref="F12:G12"/>
    <mergeCell ref="F15:G15"/>
    <mergeCell ref="F13:G13"/>
    <mergeCell ref="F17:G17"/>
    <mergeCell ref="F18:G18"/>
    <mergeCell ref="F16:G16"/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F0"/>
  </sheetPr>
  <dimension ref="A1:X98"/>
  <sheetViews>
    <sheetView view="pageBreakPreview" zoomScaleNormal="100" zoomScaleSheetLayoutView="100" workbookViewId="0">
      <selection activeCell="U51" sqref="U51"/>
    </sheetView>
  </sheetViews>
  <sheetFormatPr defaultColWidth="9" defaultRowHeight="16.5"/>
  <cols>
    <col min="1" max="2" width="7.125" style="148" customWidth="1"/>
    <col min="3" max="3" width="13.25" style="148" customWidth="1"/>
    <col min="4" max="4" width="13.125" style="177" customWidth="1"/>
    <col min="5" max="5" width="13.125" style="178" customWidth="1"/>
    <col min="6" max="6" width="0.125" style="178" hidden="1" customWidth="1"/>
    <col min="7" max="7" width="10.125" style="179" customWidth="1"/>
    <col min="8" max="8" width="8.125" style="180" customWidth="1"/>
    <col min="9" max="9" width="20.75" style="181" customWidth="1"/>
    <col min="10" max="10" width="12.5" style="181" customWidth="1"/>
    <col min="11" max="11" width="3.125" style="182" customWidth="1"/>
    <col min="12" max="12" width="2.625" style="182" customWidth="1"/>
    <col min="13" max="14" width="3.125" style="181" customWidth="1"/>
    <col min="15" max="15" width="2.625" style="181" customWidth="1"/>
    <col min="16" max="16" width="13.625" style="181" customWidth="1"/>
    <col min="17" max="17" width="2.5" style="181" customWidth="1"/>
    <col min="18" max="16384" width="9" style="25"/>
  </cols>
  <sheetData>
    <row r="1" spans="1:17" ht="22.5">
      <c r="A1" s="513" t="s">
        <v>407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</row>
    <row r="2" spans="1:17" ht="22.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</row>
    <row r="3" spans="1:17" ht="21.95" customHeight="1" thickBot="1">
      <c r="A3" s="464" t="s">
        <v>244</v>
      </c>
      <c r="B3" s="464"/>
      <c r="C3" s="27"/>
      <c r="D3" s="27"/>
      <c r="E3" s="28"/>
      <c r="F3" s="28"/>
      <c r="G3" s="29"/>
      <c r="H3" s="30"/>
      <c r="I3" s="27"/>
      <c r="J3" s="27" t="s">
        <v>41</v>
      </c>
      <c r="K3" s="27"/>
      <c r="L3" s="27"/>
      <c r="M3" s="27"/>
      <c r="N3" s="27"/>
      <c r="O3" s="505" t="s">
        <v>260</v>
      </c>
      <c r="P3" s="505"/>
      <c r="Q3" s="505"/>
    </row>
    <row r="4" spans="1:17" ht="19.5" customHeight="1">
      <c r="A4" s="514" t="s">
        <v>24</v>
      </c>
      <c r="B4" s="518" t="s">
        <v>17</v>
      </c>
      <c r="C4" s="524" t="s">
        <v>18</v>
      </c>
      <c r="D4" s="506" t="s">
        <v>467</v>
      </c>
      <c r="E4" s="506" t="s">
        <v>468</v>
      </c>
      <c r="F4" s="516" t="s">
        <v>5</v>
      </c>
      <c r="G4" s="526" t="s">
        <v>89</v>
      </c>
      <c r="H4" s="526"/>
      <c r="I4" s="530" t="s">
        <v>437</v>
      </c>
      <c r="J4" s="518"/>
      <c r="K4" s="518"/>
      <c r="L4" s="518"/>
      <c r="M4" s="518"/>
      <c r="N4" s="518"/>
      <c r="O4" s="518"/>
      <c r="P4" s="518"/>
      <c r="Q4" s="531"/>
    </row>
    <row r="5" spans="1:17" ht="19.5" customHeight="1" thickBot="1">
      <c r="A5" s="515"/>
      <c r="B5" s="519"/>
      <c r="C5" s="525"/>
      <c r="D5" s="507"/>
      <c r="E5" s="507"/>
      <c r="F5" s="517"/>
      <c r="G5" s="31" t="s">
        <v>46</v>
      </c>
      <c r="H5" s="32" t="s">
        <v>165</v>
      </c>
      <c r="I5" s="532"/>
      <c r="J5" s="519"/>
      <c r="K5" s="519"/>
      <c r="L5" s="519"/>
      <c r="M5" s="519"/>
      <c r="N5" s="519"/>
      <c r="O5" s="519"/>
      <c r="P5" s="519"/>
      <c r="Q5" s="533"/>
    </row>
    <row r="6" spans="1:17" ht="20.100000000000001" customHeight="1" thickBot="1">
      <c r="A6" s="536" t="s">
        <v>73</v>
      </c>
      <c r="B6" s="537"/>
      <c r="C6" s="538"/>
      <c r="D6" s="33">
        <f>SUM(D7,D63,D33,D77,D23,D29,D82)</f>
        <v>8115360</v>
      </c>
      <c r="E6" s="33">
        <f>SUM(E7,E63,E33,E77,E23,E29,E82)+1</f>
        <v>8392197.3838400003</v>
      </c>
      <c r="F6" s="34" t="e">
        <f>SUM(F7,#REF!,F63,F33,F77,F23,#REF!,#REF!,F29)</f>
        <v>#REF!</v>
      </c>
      <c r="G6" s="35">
        <f>+E6-D6</f>
        <v>276837.38384000026</v>
      </c>
      <c r="H6" s="36">
        <f>+G6/D6*100</f>
        <v>3.4112766881567822</v>
      </c>
      <c r="I6" s="37"/>
      <c r="J6" s="37"/>
      <c r="K6" s="38"/>
      <c r="L6" s="38"/>
      <c r="M6" s="37"/>
      <c r="N6" s="37"/>
      <c r="O6" s="37"/>
      <c r="P6" s="39">
        <f>SUM(P7,P23,P29,P33,P63,P77,P82)</f>
        <v>8392197383.8400002</v>
      </c>
      <c r="Q6" s="40" t="s">
        <v>9</v>
      </c>
    </row>
    <row r="7" spans="1:17" s="51" customFormat="1" ht="18.95" customHeight="1" thickTop="1">
      <c r="A7" s="41" t="s">
        <v>20</v>
      </c>
      <c r="B7" s="534" t="s">
        <v>22</v>
      </c>
      <c r="C7" s="535"/>
      <c r="D7" s="42">
        <f>SUM(D8)</f>
        <v>113765</v>
      </c>
      <c r="E7" s="43">
        <f>SUM(E8)</f>
        <v>113774.575</v>
      </c>
      <c r="F7" s="44">
        <f>SUM(F8)</f>
        <v>71084</v>
      </c>
      <c r="G7" s="45">
        <f>+E7-D7</f>
        <v>9.5749999999970896</v>
      </c>
      <c r="H7" s="46">
        <f>+G7/D7*100</f>
        <v>8.4164725530673674E-3</v>
      </c>
      <c r="I7" s="47"/>
      <c r="J7" s="47"/>
      <c r="K7" s="48"/>
      <c r="L7" s="48"/>
      <c r="M7" s="47"/>
      <c r="N7" s="47"/>
      <c r="O7" s="47"/>
      <c r="P7" s="49">
        <f>P8</f>
        <v>113775575</v>
      </c>
      <c r="Q7" s="50" t="s">
        <v>9</v>
      </c>
    </row>
    <row r="8" spans="1:17" s="51" customFormat="1" ht="17.100000000000001" customHeight="1">
      <c r="A8" s="41" t="s">
        <v>25</v>
      </c>
      <c r="B8" s="369" t="s">
        <v>28</v>
      </c>
      <c r="C8" s="396" t="s">
        <v>39</v>
      </c>
      <c r="D8" s="403">
        <f>SUM(D9:D22)</f>
        <v>113765</v>
      </c>
      <c r="E8" s="405">
        <f>SUM(E9:E22)</f>
        <v>113774.575</v>
      </c>
      <c r="F8" s="54">
        <f>SUM(F9:F20)</f>
        <v>71084</v>
      </c>
      <c r="G8" s="55">
        <f>+E8-D8</f>
        <v>9.5749999999970896</v>
      </c>
      <c r="H8" s="414">
        <f>+G8/D8*100</f>
        <v>8.4164725530673674E-3</v>
      </c>
      <c r="I8" s="56"/>
      <c r="J8" s="56"/>
      <c r="K8" s="57"/>
      <c r="L8" s="57"/>
      <c r="M8" s="56"/>
      <c r="N8" s="56"/>
      <c r="O8" s="56"/>
      <c r="P8" s="58">
        <f>SUM(P9,P17,P21)</f>
        <v>113775575</v>
      </c>
      <c r="Q8" s="59" t="s">
        <v>9</v>
      </c>
    </row>
    <row r="9" spans="1:17" s="51" customFormat="1" ht="17.100000000000001" customHeight="1">
      <c r="A9" s="60"/>
      <c r="B9" s="104" t="s">
        <v>67</v>
      </c>
      <c r="C9" s="490" t="s">
        <v>133</v>
      </c>
      <c r="D9" s="475">
        <v>60940</v>
      </c>
      <c r="E9" s="478">
        <f>+P9/1000</f>
        <v>60940</v>
      </c>
      <c r="F9" s="61">
        <v>0</v>
      </c>
      <c r="G9" s="521">
        <f>+E9-D9</f>
        <v>0</v>
      </c>
      <c r="H9" s="527">
        <f>+G9/D9*100</f>
        <v>0</v>
      </c>
      <c r="I9" s="62"/>
      <c r="J9" s="63"/>
      <c r="K9" s="398"/>
      <c r="L9" s="398"/>
      <c r="M9" s="471" t="s">
        <v>55</v>
      </c>
      <c r="N9" s="471"/>
      <c r="O9" s="471"/>
      <c r="P9" s="63">
        <f>SUM(P10:P16)</f>
        <v>60940000</v>
      </c>
      <c r="Q9" s="59" t="s">
        <v>9</v>
      </c>
    </row>
    <row r="10" spans="1:17" s="51" customFormat="1" ht="17.100000000000001" customHeight="1">
      <c r="A10" s="60"/>
      <c r="B10" s="64"/>
      <c r="C10" s="491"/>
      <c r="D10" s="476"/>
      <c r="E10" s="479"/>
      <c r="F10" s="65"/>
      <c r="G10" s="523"/>
      <c r="H10" s="528"/>
      <c r="I10" s="371" t="s">
        <v>2</v>
      </c>
      <c r="J10" s="67">
        <v>700000</v>
      </c>
      <c r="K10" s="436" t="s">
        <v>9</v>
      </c>
      <c r="L10" s="23" t="s">
        <v>16</v>
      </c>
      <c r="M10" s="436">
        <v>12</v>
      </c>
      <c r="N10" s="436" t="s">
        <v>13</v>
      </c>
      <c r="O10" s="436" t="s">
        <v>15</v>
      </c>
      <c r="P10" s="21">
        <f t="shared" ref="P10:P16" si="0">SUM(J10*M10)</f>
        <v>8400000</v>
      </c>
      <c r="Q10" s="12" t="s">
        <v>9</v>
      </c>
    </row>
    <row r="11" spans="1:17" s="51" customFormat="1" ht="17.100000000000001" customHeight="1">
      <c r="A11" s="60"/>
      <c r="B11" s="64"/>
      <c r="C11" s="491"/>
      <c r="D11" s="476"/>
      <c r="E11" s="479"/>
      <c r="F11" s="68"/>
      <c r="G11" s="523"/>
      <c r="H11" s="528"/>
      <c r="I11" s="66" t="s">
        <v>449</v>
      </c>
      <c r="J11" s="67">
        <v>420000</v>
      </c>
      <c r="K11" s="436" t="s">
        <v>9</v>
      </c>
      <c r="L11" s="23" t="s">
        <v>16</v>
      </c>
      <c r="M11" s="436">
        <v>12</v>
      </c>
      <c r="N11" s="436" t="s">
        <v>13</v>
      </c>
      <c r="O11" s="436" t="s">
        <v>15</v>
      </c>
      <c r="P11" s="21">
        <f t="shared" si="0"/>
        <v>5040000</v>
      </c>
      <c r="Q11" s="12" t="s">
        <v>9</v>
      </c>
    </row>
    <row r="12" spans="1:17" s="51" customFormat="1" ht="17.100000000000001" customHeight="1">
      <c r="A12" s="60"/>
      <c r="B12" s="64"/>
      <c r="C12" s="491"/>
      <c r="D12" s="476"/>
      <c r="E12" s="479"/>
      <c r="F12" s="65"/>
      <c r="G12" s="523"/>
      <c r="H12" s="528"/>
      <c r="I12" s="66" t="s">
        <v>358</v>
      </c>
      <c r="J12" s="67">
        <v>500000</v>
      </c>
      <c r="K12" s="436" t="s">
        <v>9</v>
      </c>
      <c r="L12" s="23" t="s">
        <v>16</v>
      </c>
      <c r="M12" s="436">
        <v>8</v>
      </c>
      <c r="N12" s="436" t="s">
        <v>13</v>
      </c>
      <c r="O12" s="436" t="s">
        <v>15</v>
      </c>
      <c r="P12" s="21">
        <f t="shared" si="0"/>
        <v>4000000</v>
      </c>
      <c r="Q12" s="12" t="s">
        <v>9</v>
      </c>
    </row>
    <row r="13" spans="1:17" s="51" customFormat="1" ht="17.100000000000001" customHeight="1">
      <c r="A13" s="60"/>
      <c r="B13" s="64"/>
      <c r="C13" s="491"/>
      <c r="D13" s="476"/>
      <c r="E13" s="479"/>
      <c r="F13" s="65"/>
      <c r="G13" s="523"/>
      <c r="H13" s="528"/>
      <c r="I13" s="66" t="s">
        <v>367</v>
      </c>
      <c r="J13" s="67">
        <v>2100000</v>
      </c>
      <c r="K13" s="436" t="s">
        <v>9</v>
      </c>
      <c r="L13" s="23" t="s">
        <v>16</v>
      </c>
      <c r="M13" s="436">
        <v>12</v>
      </c>
      <c r="N13" s="436" t="s">
        <v>13</v>
      </c>
      <c r="O13" s="436" t="s">
        <v>15</v>
      </c>
      <c r="P13" s="21">
        <f t="shared" si="0"/>
        <v>25200000</v>
      </c>
      <c r="Q13" s="12" t="s">
        <v>9</v>
      </c>
    </row>
    <row r="14" spans="1:17" s="51" customFormat="1" ht="17.100000000000001" customHeight="1">
      <c r="A14" s="60"/>
      <c r="B14" s="64"/>
      <c r="C14" s="491"/>
      <c r="D14" s="476"/>
      <c r="E14" s="479"/>
      <c r="F14" s="65"/>
      <c r="G14" s="523"/>
      <c r="H14" s="528"/>
      <c r="I14" s="66" t="s">
        <v>283</v>
      </c>
      <c r="J14" s="67">
        <v>1300000</v>
      </c>
      <c r="K14" s="436" t="s">
        <v>9</v>
      </c>
      <c r="L14" s="23" t="s">
        <v>16</v>
      </c>
      <c r="M14" s="436">
        <v>12</v>
      </c>
      <c r="N14" s="436" t="s">
        <v>13</v>
      </c>
      <c r="O14" s="436" t="s">
        <v>15</v>
      </c>
      <c r="P14" s="21">
        <f t="shared" si="0"/>
        <v>15600000</v>
      </c>
      <c r="Q14" s="12" t="s">
        <v>9</v>
      </c>
    </row>
    <row r="15" spans="1:17" s="51" customFormat="1" ht="17.100000000000001" customHeight="1">
      <c r="A15" s="60"/>
      <c r="B15" s="64"/>
      <c r="C15" s="491"/>
      <c r="D15" s="476"/>
      <c r="E15" s="479"/>
      <c r="F15" s="65"/>
      <c r="G15" s="523"/>
      <c r="H15" s="528"/>
      <c r="I15" s="66" t="s">
        <v>453</v>
      </c>
      <c r="J15" s="67">
        <v>100000</v>
      </c>
      <c r="K15" s="436" t="s">
        <v>9</v>
      </c>
      <c r="L15" s="23" t="s">
        <v>16</v>
      </c>
      <c r="M15" s="436">
        <v>12</v>
      </c>
      <c r="N15" s="436" t="s">
        <v>13</v>
      </c>
      <c r="O15" s="436" t="s">
        <v>15</v>
      </c>
      <c r="P15" s="21">
        <f t="shared" ref="P15" si="1">SUM(J15*M15)</f>
        <v>1200000</v>
      </c>
      <c r="Q15" s="12" t="s">
        <v>9</v>
      </c>
    </row>
    <row r="16" spans="1:17" s="51" customFormat="1" ht="17.100000000000001" customHeight="1">
      <c r="A16" s="60"/>
      <c r="B16" s="64"/>
      <c r="C16" s="492"/>
      <c r="D16" s="477"/>
      <c r="E16" s="480"/>
      <c r="F16" s="65"/>
      <c r="G16" s="522"/>
      <c r="H16" s="529"/>
      <c r="I16" s="66" t="s">
        <v>389</v>
      </c>
      <c r="J16" s="69">
        <v>750000</v>
      </c>
      <c r="K16" s="436" t="s">
        <v>9</v>
      </c>
      <c r="L16" s="23" t="s">
        <v>16</v>
      </c>
      <c r="M16" s="436">
        <v>2</v>
      </c>
      <c r="N16" s="436" t="s">
        <v>23</v>
      </c>
      <c r="O16" s="436" t="s">
        <v>15</v>
      </c>
      <c r="P16" s="21">
        <f t="shared" si="0"/>
        <v>1500000</v>
      </c>
      <c r="Q16" s="12" t="s">
        <v>9</v>
      </c>
    </row>
    <row r="17" spans="1:17" s="51" customFormat="1" ht="17.100000000000001" customHeight="1">
      <c r="A17" s="60"/>
      <c r="B17" s="64"/>
      <c r="C17" s="472" t="s">
        <v>290</v>
      </c>
      <c r="D17" s="475">
        <v>52625</v>
      </c>
      <c r="E17" s="478">
        <f>+P17/1000</f>
        <v>52625</v>
      </c>
      <c r="F17" s="481">
        <v>71084</v>
      </c>
      <c r="G17" s="465">
        <f>+E17-D17</f>
        <v>0</v>
      </c>
      <c r="H17" s="468">
        <f>+G17/D17*100</f>
        <v>0</v>
      </c>
      <c r="I17" s="62"/>
      <c r="J17" s="63"/>
      <c r="K17" s="398"/>
      <c r="L17" s="398"/>
      <c r="M17" s="471" t="s">
        <v>55</v>
      </c>
      <c r="N17" s="471"/>
      <c r="O17" s="471"/>
      <c r="P17" s="63">
        <f>SUM(P18:P20)</f>
        <v>52625000</v>
      </c>
      <c r="Q17" s="59" t="s">
        <v>9</v>
      </c>
    </row>
    <row r="18" spans="1:17" s="51" customFormat="1" ht="17.100000000000001" customHeight="1">
      <c r="A18" s="60"/>
      <c r="B18" s="64"/>
      <c r="C18" s="473"/>
      <c r="D18" s="476"/>
      <c r="E18" s="479"/>
      <c r="F18" s="482"/>
      <c r="G18" s="466"/>
      <c r="H18" s="469"/>
      <c r="I18" s="66" t="s">
        <v>390</v>
      </c>
      <c r="J18" s="21">
        <v>7200000</v>
      </c>
      <c r="K18" s="436" t="s">
        <v>9</v>
      </c>
      <c r="L18" s="23" t="s">
        <v>16</v>
      </c>
      <c r="M18" s="436">
        <v>1</v>
      </c>
      <c r="N18" s="436" t="s">
        <v>23</v>
      </c>
      <c r="O18" s="24" t="s">
        <v>15</v>
      </c>
      <c r="P18" s="21">
        <f>J18*M18</f>
        <v>7200000</v>
      </c>
      <c r="Q18" s="12" t="s">
        <v>9</v>
      </c>
    </row>
    <row r="19" spans="1:17" s="51" customFormat="1" ht="17.100000000000001" customHeight="1">
      <c r="A19" s="60"/>
      <c r="B19" s="64"/>
      <c r="C19" s="473"/>
      <c r="D19" s="476"/>
      <c r="E19" s="479"/>
      <c r="F19" s="482"/>
      <c r="G19" s="466"/>
      <c r="H19" s="469"/>
      <c r="I19" s="371" t="s">
        <v>392</v>
      </c>
      <c r="J19" s="21">
        <v>5037500</v>
      </c>
      <c r="K19" s="436" t="s">
        <v>9</v>
      </c>
      <c r="L19" s="23" t="s">
        <v>16</v>
      </c>
      <c r="M19" s="436">
        <v>6</v>
      </c>
      <c r="N19" s="436" t="s">
        <v>23</v>
      </c>
      <c r="O19" s="24" t="s">
        <v>15</v>
      </c>
      <c r="P19" s="21">
        <f>J19*M19</f>
        <v>30225000</v>
      </c>
      <c r="Q19" s="12" t="s">
        <v>9</v>
      </c>
    </row>
    <row r="20" spans="1:17" s="51" customFormat="1" ht="17.100000000000001" customHeight="1">
      <c r="A20" s="60"/>
      <c r="B20" s="64"/>
      <c r="C20" s="473"/>
      <c r="D20" s="476"/>
      <c r="E20" s="479"/>
      <c r="F20" s="482"/>
      <c r="G20" s="466"/>
      <c r="H20" s="469"/>
      <c r="I20" s="66" t="s">
        <v>399</v>
      </c>
      <c r="J20" s="21">
        <v>3040000</v>
      </c>
      <c r="K20" s="436" t="s">
        <v>9</v>
      </c>
      <c r="L20" s="23" t="s">
        <v>16</v>
      </c>
      <c r="M20" s="436">
        <v>5</v>
      </c>
      <c r="N20" s="436" t="s">
        <v>23</v>
      </c>
      <c r="O20" s="24" t="s">
        <v>15</v>
      </c>
      <c r="P20" s="21">
        <f>J20*M20</f>
        <v>15200000</v>
      </c>
      <c r="Q20" s="12" t="s">
        <v>9</v>
      </c>
    </row>
    <row r="21" spans="1:17" s="51" customFormat="1" ht="17.100000000000001" customHeight="1">
      <c r="A21" s="60"/>
      <c r="B21" s="64"/>
      <c r="C21" s="490" t="s">
        <v>180</v>
      </c>
      <c r="D21" s="475">
        <v>200</v>
      </c>
      <c r="E21" s="521">
        <f>(P21/1000)-1</f>
        <v>209.57499999999999</v>
      </c>
      <c r="F21" s="68"/>
      <c r="G21" s="465">
        <f>E21-D21</f>
        <v>9.5749999999999886</v>
      </c>
      <c r="H21" s="468">
        <f>G21/D21*100</f>
        <v>4.7874999999999943</v>
      </c>
      <c r="I21" s="62"/>
      <c r="J21" s="63"/>
      <c r="K21" s="398"/>
      <c r="L21" s="70"/>
      <c r="M21" s="471" t="s">
        <v>55</v>
      </c>
      <c r="N21" s="471"/>
      <c r="O21" s="471"/>
      <c r="P21" s="71">
        <f>SUM(P22:P22)</f>
        <v>210575</v>
      </c>
      <c r="Q21" s="59" t="s">
        <v>9</v>
      </c>
    </row>
    <row r="22" spans="1:17" s="51" customFormat="1" ht="17.100000000000001" customHeight="1">
      <c r="A22" s="60"/>
      <c r="B22" s="64"/>
      <c r="C22" s="491"/>
      <c r="D22" s="476"/>
      <c r="E22" s="522"/>
      <c r="F22" s="68"/>
      <c r="G22" s="466"/>
      <c r="H22" s="469"/>
      <c r="I22" s="66" t="s">
        <v>479</v>
      </c>
      <c r="J22" s="72">
        <v>210575</v>
      </c>
      <c r="K22" s="436" t="s">
        <v>9</v>
      </c>
      <c r="L22" s="23" t="s">
        <v>16</v>
      </c>
      <c r="M22" s="436">
        <v>1</v>
      </c>
      <c r="N22" s="436" t="s">
        <v>23</v>
      </c>
      <c r="O22" s="24" t="s">
        <v>35</v>
      </c>
      <c r="P22" s="21">
        <f>J22*M22</f>
        <v>210575</v>
      </c>
      <c r="Q22" s="12" t="s">
        <v>9</v>
      </c>
    </row>
    <row r="23" spans="1:17" s="51" customFormat="1" ht="18.95" customHeight="1">
      <c r="A23" s="108" t="s">
        <v>162</v>
      </c>
      <c r="B23" s="493" t="s">
        <v>22</v>
      </c>
      <c r="C23" s="494"/>
      <c r="D23" s="74">
        <f>SUM(D24)</f>
        <v>4600</v>
      </c>
      <c r="E23" s="75">
        <f>SUM(E24)</f>
        <v>4600</v>
      </c>
      <c r="F23" s="76">
        <f>SUM(F24)</f>
        <v>12766566</v>
      </c>
      <c r="G23" s="77">
        <f>+E23-D23</f>
        <v>0</v>
      </c>
      <c r="H23" s="78">
        <f>+G23/D23*100</f>
        <v>0</v>
      </c>
      <c r="I23" s="79"/>
      <c r="J23" s="79"/>
      <c r="K23" s="413"/>
      <c r="L23" s="413"/>
      <c r="M23" s="79"/>
      <c r="N23" s="79"/>
      <c r="O23" s="79"/>
      <c r="P23" s="80">
        <f>P24</f>
        <v>4600000</v>
      </c>
      <c r="Q23" s="81" t="s">
        <v>9</v>
      </c>
    </row>
    <row r="24" spans="1:17" s="51" customFormat="1" ht="17.100000000000001" customHeight="1">
      <c r="A24" s="60"/>
      <c r="B24" s="104" t="s">
        <v>162</v>
      </c>
      <c r="C24" s="397" t="s">
        <v>39</v>
      </c>
      <c r="D24" s="404">
        <f>SUM(D25)</f>
        <v>4600</v>
      </c>
      <c r="E24" s="82">
        <f>SUM(E25)</f>
        <v>4600</v>
      </c>
      <c r="F24" s="83">
        <f>SUM(F25:F89)</f>
        <v>12766566</v>
      </c>
      <c r="G24" s="416">
        <f>+E24-D24</f>
        <v>0</v>
      </c>
      <c r="H24" s="414">
        <f>+G24/D24*100</f>
        <v>0</v>
      </c>
      <c r="I24" s="22"/>
      <c r="J24" s="22"/>
      <c r="K24" s="436"/>
      <c r="L24" s="436"/>
      <c r="M24" s="22"/>
      <c r="N24" s="22"/>
      <c r="O24" s="22"/>
      <c r="P24" s="84">
        <f>P25</f>
        <v>4600000</v>
      </c>
      <c r="Q24" s="12" t="s">
        <v>9</v>
      </c>
    </row>
    <row r="25" spans="1:17" s="51" customFormat="1" ht="17.100000000000001" customHeight="1">
      <c r="A25" s="60"/>
      <c r="B25" s="64"/>
      <c r="C25" s="490" t="s">
        <v>115</v>
      </c>
      <c r="D25" s="475">
        <v>4600</v>
      </c>
      <c r="E25" s="478">
        <f>P24/1000</f>
        <v>4600</v>
      </c>
      <c r="F25" s="481">
        <v>10450</v>
      </c>
      <c r="G25" s="465">
        <f>+E25-D25</f>
        <v>0</v>
      </c>
      <c r="H25" s="468">
        <f>+G25/D25*100</f>
        <v>0</v>
      </c>
      <c r="I25" s="511"/>
      <c r="J25" s="512"/>
      <c r="K25" s="398"/>
      <c r="L25" s="398"/>
      <c r="M25" s="520" t="s">
        <v>55</v>
      </c>
      <c r="N25" s="520"/>
      <c r="O25" s="520"/>
      <c r="P25" s="85">
        <f>SUM(P26:P28)</f>
        <v>4600000</v>
      </c>
      <c r="Q25" s="59" t="s">
        <v>9</v>
      </c>
    </row>
    <row r="26" spans="1:17" s="51" customFormat="1" ht="17.100000000000001" customHeight="1">
      <c r="A26" s="41"/>
      <c r="B26" s="64"/>
      <c r="C26" s="491"/>
      <c r="D26" s="476"/>
      <c r="E26" s="479"/>
      <c r="F26" s="482"/>
      <c r="G26" s="466"/>
      <c r="H26" s="469"/>
      <c r="I26" s="86" t="s">
        <v>450</v>
      </c>
      <c r="J26" s="87">
        <v>30000</v>
      </c>
      <c r="K26" s="88" t="s">
        <v>9</v>
      </c>
      <c r="L26" s="89" t="s">
        <v>16</v>
      </c>
      <c r="M26" s="88">
        <v>60</v>
      </c>
      <c r="N26" s="88" t="s">
        <v>40</v>
      </c>
      <c r="O26" s="90" t="s">
        <v>15</v>
      </c>
      <c r="P26" s="87">
        <f>J26*M26</f>
        <v>1800000</v>
      </c>
      <c r="Q26" s="91" t="s">
        <v>9</v>
      </c>
    </row>
    <row r="27" spans="1:17" s="51" customFormat="1" ht="17.100000000000001" customHeight="1">
      <c r="A27" s="60"/>
      <c r="B27" s="64"/>
      <c r="C27" s="491"/>
      <c r="D27" s="476"/>
      <c r="E27" s="479"/>
      <c r="F27" s="482"/>
      <c r="G27" s="466"/>
      <c r="H27" s="469"/>
      <c r="I27" s="86" t="s">
        <v>451</v>
      </c>
      <c r="J27" s="87">
        <v>20000</v>
      </c>
      <c r="K27" s="88" t="s">
        <v>9</v>
      </c>
      <c r="L27" s="89" t="s">
        <v>16</v>
      </c>
      <c r="M27" s="88">
        <v>80</v>
      </c>
      <c r="N27" s="88" t="s">
        <v>40</v>
      </c>
      <c r="O27" s="90" t="s">
        <v>15</v>
      </c>
      <c r="P27" s="87">
        <f t="shared" ref="P27:P28" si="2">J27*M27</f>
        <v>1600000</v>
      </c>
      <c r="Q27" s="91" t="s">
        <v>9</v>
      </c>
    </row>
    <row r="28" spans="1:17" s="51" customFormat="1" ht="17.100000000000001" customHeight="1">
      <c r="A28" s="372"/>
      <c r="B28" s="373"/>
      <c r="C28" s="402"/>
      <c r="D28" s="94"/>
      <c r="E28" s="95"/>
      <c r="F28" s="483"/>
      <c r="G28" s="96"/>
      <c r="H28" s="97"/>
      <c r="I28" s="368" t="s">
        <v>452</v>
      </c>
      <c r="J28" s="101">
        <v>20000</v>
      </c>
      <c r="K28" s="98" t="s">
        <v>9</v>
      </c>
      <c r="L28" s="99" t="s">
        <v>16</v>
      </c>
      <c r="M28" s="98">
        <v>60</v>
      </c>
      <c r="N28" s="98" t="s">
        <v>40</v>
      </c>
      <c r="O28" s="100" t="s">
        <v>15</v>
      </c>
      <c r="P28" s="101">
        <f t="shared" si="2"/>
        <v>1200000</v>
      </c>
      <c r="Q28" s="102" t="s">
        <v>9</v>
      </c>
    </row>
    <row r="29" spans="1:17" s="51" customFormat="1" ht="18.95" customHeight="1">
      <c r="A29" s="108" t="s">
        <v>114</v>
      </c>
      <c r="B29" s="493" t="s">
        <v>22</v>
      </c>
      <c r="C29" s="494"/>
      <c r="D29" s="74">
        <f t="shared" ref="D29:F30" si="3">SUM(D30)</f>
        <v>140000</v>
      </c>
      <c r="E29" s="75">
        <f t="shared" si="3"/>
        <v>140000</v>
      </c>
      <c r="F29" s="103">
        <f t="shared" si="3"/>
        <v>56700</v>
      </c>
      <c r="G29" s="77">
        <f t="shared" ref="G29:G31" si="4">+E29-D29</f>
        <v>0</v>
      </c>
      <c r="H29" s="78">
        <f>+G29/D29*100</f>
        <v>0</v>
      </c>
      <c r="I29" s="109"/>
      <c r="J29" s="109"/>
      <c r="K29" s="110"/>
      <c r="L29" s="110"/>
      <c r="M29" s="109"/>
      <c r="N29" s="109"/>
      <c r="O29" s="109"/>
      <c r="P29" s="80">
        <f>P30</f>
        <v>140000000</v>
      </c>
      <c r="Q29" s="81" t="s">
        <v>9</v>
      </c>
    </row>
    <row r="30" spans="1:17" s="51" customFormat="1" ht="17.100000000000001" customHeight="1">
      <c r="A30" s="60"/>
      <c r="B30" s="104" t="s">
        <v>114</v>
      </c>
      <c r="C30" s="412" t="s">
        <v>39</v>
      </c>
      <c r="D30" s="105">
        <f>D31</f>
        <v>140000</v>
      </c>
      <c r="E30" s="106">
        <f t="shared" si="3"/>
        <v>140000</v>
      </c>
      <c r="F30" s="107">
        <f t="shared" si="3"/>
        <v>56700</v>
      </c>
      <c r="G30" s="55">
        <f t="shared" si="4"/>
        <v>0</v>
      </c>
      <c r="H30" s="414">
        <f>+G30/D30*100</f>
        <v>0</v>
      </c>
      <c r="I30" s="111"/>
      <c r="J30" s="79"/>
      <c r="K30" s="413"/>
      <c r="L30" s="413"/>
      <c r="M30" s="79"/>
      <c r="N30" s="79"/>
      <c r="O30" s="79"/>
      <c r="P30" s="112">
        <f>SUM(P31)</f>
        <v>140000000</v>
      </c>
      <c r="Q30" s="113" t="s">
        <v>9</v>
      </c>
    </row>
    <row r="31" spans="1:17" s="51" customFormat="1" ht="17.100000000000001" customHeight="1">
      <c r="A31" s="60"/>
      <c r="B31" s="397"/>
      <c r="C31" s="490" t="s">
        <v>166</v>
      </c>
      <c r="D31" s="475">
        <v>140000</v>
      </c>
      <c r="E31" s="478">
        <f>+P31/1000</f>
        <v>140000</v>
      </c>
      <c r="F31" s="481">
        <v>56700</v>
      </c>
      <c r="G31" s="521">
        <f t="shared" si="4"/>
        <v>0</v>
      </c>
      <c r="H31" s="487">
        <f>+G31/D31*100</f>
        <v>0</v>
      </c>
      <c r="I31" s="114"/>
      <c r="J31" s="22"/>
      <c r="K31" s="436"/>
      <c r="L31" s="436"/>
      <c r="M31" s="22" t="s">
        <v>55</v>
      </c>
      <c r="N31" s="22"/>
      <c r="O31" s="22"/>
      <c r="P31" s="84">
        <f>SUM(P32:P32)</f>
        <v>140000000</v>
      </c>
      <c r="Q31" s="12" t="s">
        <v>9</v>
      </c>
    </row>
    <row r="32" spans="1:17" s="51" customFormat="1" ht="17.100000000000001" customHeight="1">
      <c r="A32" s="60"/>
      <c r="B32" s="397"/>
      <c r="C32" s="491"/>
      <c r="D32" s="476"/>
      <c r="E32" s="479"/>
      <c r="F32" s="482"/>
      <c r="G32" s="523"/>
      <c r="H32" s="488"/>
      <c r="I32" s="66" t="s">
        <v>316</v>
      </c>
      <c r="J32" s="72">
        <v>140000000</v>
      </c>
      <c r="K32" s="436" t="s">
        <v>9</v>
      </c>
      <c r="L32" s="23" t="s">
        <v>16</v>
      </c>
      <c r="M32" s="436">
        <v>1</v>
      </c>
      <c r="N32" s="436" t="s">
        <v>23</v>
      </c>
      <c r="O32" s="436" t="s">
        <v>15</v>
      </c>
      <c r="P32" s="72">
        <f>+M32*J32</f>
        <v>140000000</v>
      </c>
      <c r="Q32" s="12" t="s">
        <v>9</v>
      </c>
    </row>
    <row r="33" spans="1:17" s="51" customFormat="1" ht="18.95" customHeight="1">
      <c r="A33" s="73" t="s">
        <v>19</v>
      </c>
      <c r="B33" s="494" t="s">
        <v>22</v>
      </c>
      <c r="C33" s="502"/>
      <c r="D33" s="74">
        <f>+D34+D50</f>
        <v>1397420</v>
      </c>
      <c r="E33" s="75">
        <f>+E34+E50</f>
        <v>1397419.9999200001</v>
      </c>
      <c r="F33" s="76">
        <f>+F34+F50</f>
        <v>1336159</v>
      </c>
      <c r="G33" s="77">
        <f>E33-D33</f>
        <v>-7.9999910667538643E-5</v>
      </c>
      <c r="H33" s="78">
        <f>+G33/D33*100</f>
        <v>-5.7248293761030071E-9</v>
      </c>
      <c r="I33" s="116"/>
      <c r="J33" s="116"/>
      <c r="K33" s="117"/>
      <c r="L33" s="118"/>
      <c r="M33" s="116"/>
      <c r="N33" s="116"/>
      <c r="O33" s="116"/>
      <c r="P33" s="119">
        <f>SUM(P34,P50)</f>
        <v>1397419999.9200001</v>
      </c>
      <c r="Q33" s="120" t="s">
        <v>9</v>
      </c>
    </row>
    <row r="34" spans="1:17" s="51" customFormat="1" ht="17.100000000000001" customHeight="1">
      <c r="A34" s="60"/>
      <c r="B34" s="399" t="s">
        <v>34</v>
      </c>
      <c r="C34" s="397" t="s">
        <v>39</v>
      </c>
      <c r="D34" s="404">
        <f>SUM(D35:D46)</f>
        <v>777770</v>
      </c>
      <c r="E34" s="406">
        <f>SUM(E35:E49)</f>
        <v>777770</v>
      </c>
      <c r="F34" s="408">
        <f>SUM(F35:F46)</f>
        <v>711605</v>
      </c>
      <c r="G34" s="55">
        <f>E34-D34</f>
        <v>0</v>
      </c>
      <c r="H34" s="414">
        <f>+G34/D34*100</f>
        <v>0</v>
      </c>
      <c r="I34" s="121"/>
      <c r="J34" s="121"/>
      <c r="K34" s="122"/>
      <c r="L34" s="88"/>
      <c r="M34" s="121"/>
      <c r="N34" s="121"/>
      <c r="O34" s="121"/>
      <c r="P34" s="123">
        <f>SUM(P35,P37,P42,P45)</f>
        <v>777770000</v>
      </c>
      <c r="Q34" s="91" t="s">
        <v>9</v>
      </c>
    </row>
    <row r="35" spans="1:17" s="51" customFormat="1" ht="17.100000000000001" customHeight="1">
      <c r="A35" s="60"/>
      <c r="B35" s="399" t="s">
        <v>19</v>
      </c>
      <c r="C35" s="472" t="s">
        <v>331</v>
      </c>
      <c r="D35" s="475">
        <v>357650</v>
      </c>
      <c r="E35" s="478">
        <f>P35/1000</f>
        <v>357650</v>
      </c>
      <c r="F35" s="481">
        <v>480000</v>
      </c>
      <c r="G35" s="465">
        <f>+E35-D35</f>
        <v>0</v>
      </c>
      <c r="H35" s="468">
        <f>+G35/D35*100</f>
        <v>0</v>
      </c>
      <c r="I35" s="124"/>
      <c r="J35" s="125"/>
      <c r="K35" s="126"/>
      <c r="L35" s="418"/>
      <c r="M35" s="418" t="s">
        <v>55</v>
      </c>
      <c r="N35" s="418"/>
      <c r="O35" s="418"/>
      <c r="P35" s="125">
        <f>SUM(P36:P36)</f>
        <v>357650000</v>
      </c>
      <c r="Q35" s="127" t="s">
        <v>9</v>
      </c>
    </row>
    <row r="36" spans="1:17" s="51" customFormat="1" ht="17.100000000000001" customHeight="1">
      <c r="A36" s="60"/>
      <c r="B36" s="64"/>
      <c r="C36" s="491"/>
      <c r="D36" s="476"/>
      <c r="E36" s="479"/>
      <c r="F36" s="483"/>
      <c r="G36" s="466"/>
      <c r="H36" s="469"/>
      <c r="I36" s="128" t="s">
        <v>127</v>
      </c>
      <c r="J36" s="129">
        <v>178825000</v>
      </c>
      <c r="K36" s="88" t="s">
        <v>9</v>
      </c>
      <c r="L36" s="89" t="s">
        <v>16</v>
      </c>
      <c r="M36" s="88">
        <v>2</v>
      </c>
      <c r="N36" s="88" t="s">
        <v>23</v>
      </c>
      <c r="O36" s="90" t="s">
        <v>15</v>
      </c>
      <c r="P36" s="87">
        <f>SUM(J36*M36)</f>
        <v>357650000</v>
      </c>
      <c r="Q36" s="91" t="s">
        <v>9</v>
      </c>
    </row>
    <row r="37" spans="1:17" s="51" customFormat="1" ht="17.100000000000001" customHeight="1">
      <c r="A37" s="60"/>
      <c r="B37" s="64"/>
      <c r="C37" s="472" t="s">
        <v>330</v>
      </c>
      <c r="D37" s="475">
        <v>44120</v>
      </c>
      <c r="E37" s="478">
        <f>P37/1000</f>
        <v>44120</v>
      </c>
      <c r="F37" s="481">
        <v>79390</v>
      </c>
      <c r="G37" s="465">
        <f>+E37-D37</f>
        <v>0</v>
      </c>
      <c r="H37" s="468">
        <f>+G37/D37*100</f>
        <v>0</v>
      </c>
      <c r="I37" s="130"/>
      <c r="J37" s="63"/>
      <c r="K37" s="398"/>
      <c r="L37" s="398"/>
      <c r="M37" s="471" t="s">
        <v>55</v>
      </c>
      <c r="N37" s="471"/>
      <c r="O37" s="471"/>
      <c r="P37" s="63">
        <f>SUM(P38:P41)</f>
        <v>44120000</v>
      </c>
      <c r="Q37" s="59" t="s">
        <v>9</v>
      </c>
    </row>
    <row r="38" spans="1:17" s="51" customFormat="1" ht="17.100000000000001" customHeight="1">
      <c r="A38" s="60"/>
      <c r="B38" s="64"/>
      <c r="C38" s="491"/>
      <c r="D38" s="476"/>
      <c r="E38" s="479"/>
      <c r="F38" s="482"/>
      <c r="G38" s="466"/>
      <c r="H38" s="469"/>
      <c r="I38" s="378" t="s">
        <v>362</v>
      </c>
      <c r="J38" s="379">
        <v>2500000</v>
      </c>
      <c r="K38" s="380" t="s">
        <v>9</v>
      </c>
      <c r="L38" s="381" t="s">
        <v>16</v>
      </c>
      <c r="M38" s="380">
        <v>12</v>
      </c>
      <c r="N38" s="380" t="s">
        <v>13</v>
      </c>
      <c r="O38" s="382" t="s">
        <v>15</v>
      </c>
      <c r="P38" s="379">
        <f>SUM(J38*M38)</f>
        <v>30000000</v>
      </c>
      <c r="Q38" s="383" t="s">
        <v>9</v>
      </c>
    </row>
    <row r="39" spans="1:17" s="51" customFormat="1" ht="17.100000000000001" customHeight="1">
      <c r="A39" s="60"/>
      <c r="B39" s="64"/>
      <c r="C39" s="491"/>
      <c r="D39" s="476"/>
      <c r="E39" s="479"/>
      <c r="F39" s="408"/>
      <c r="G39" s="466"/>
      <c r="H39" s="469"/>
      <c r="I39" s="86" t="s">
        <v>380</v>
      </c>
      <c r="J39" s="87">
        <v>1000000</v>
      </c>
      <c r="K39" s="88" t="s">
        <v>9</v>
      </c>
      <c r="L39" s="89" t="s">
        <v>16</v>
      </c>
      <c r="M39" s="88">
        <v>12</v>
      </c>
      <c r="N39" s="88" t="s">
        <v>13</v>
      </c>
      <c r="O39" s="90" t="s">
        <v>15</v>
      </c>
      <c r="P39" s="87">
        <f>SUM(J39*M39)</f>
        <v>12000000</v>
      </c>
      <c r="Q39" s="91" t="s">
        <v>9</v>
      </c>
    </row>
    <row r="40" spans="1:17" s="51" customFormat="1" ht="17.100000000000001" customHeight="1">
      <c r="A40" s="60"/>
      <c r="B40" s="64"/>
      <c r="C40" s="491"/>
      <c r="D40" s="476"/>
      <c r="E40" s="479"/>
      <c r="F40" s="408"/>
      <c r="G40" s="466"/>
      <c r="H40" s="469"/>
      <c r="I40" s="128" t="s">
        <v>382</v>
      </c>
      <c r="J40" s="87">
        <v>1000000</v>
      </c>
      <c r="K40" s="88" t="s">
        <v>9</v>
      </c>
      <c r="L40" s="89" t="s">
        <v>16</v>
      </c>
      <c r="M40" s="88">
        <v>2</v>
      </c>
      <c r="N40" s="88" t="s">
        <v>23</v>
      </c>
      <c r="O40" s="90" t="s">
        <v>15</v>
      </c>
      <c r="P40" s="87">
        <f>SUM(J40*M40)</f>
        <v>2000000</v>
      </c>
      <c r="Q40" s="91" t="s">
        <v>9</v>
      </c>
    </row>
    <row r="41" spans="1:17" s="51" customFormat="1" ht="17.100000000000001" customHeight="1">
      <c r="A41" s="60"/>
      <c r="B41" s="64"/>
      <c r="C41" s="492"/>
      <c r="D41" s="477"/>
      <c r="E41" s="480"/>
      <c r="F41" s="409"/>
      <c r="G41" s="467"/>
      <c r="H41" s="470"/>
      <c r="I41" s="368" t="s">
        <v>395</v>
      </c>
      <c r="J41" s="101">
        <v>10000</v>
      </c>
      <c r="K41" s="98" t="s">
        <v>9</v>
      </c>
      <c r="L41" s="99" t="s">
        <v>16</v>
      </c>
      <c r="M41" s="98">
        <v>12</v>
      </c>
      <c r="N41" s="98" t="s">
        <v>23</v>
      </c>
      <c r="O41" s="100" t="s">
        <v>15</v>
      </c>
      <c r="P41" s="101">
        <f>SUM(J41*M41)</f>
        <v>120000</v>
      </c>
      <c r="Q41" s="102" t="s">
        <v>9</v>
      </c>
    </row>
    <row r="42" spans="1:17" s="51" customFormat="1" ht="17.100000000000001" customHeight="1">
      <c r="A42" s="60"/>
      <c r="B42" s="64"/>
      <c r="C42" s="490" t="s">
        <v>122</v>
      </c>
      <c r="D42" s="475">
        <v>170000</v>
      </c>
      <c r="E42" s="478">
        <f>+P42/1000</f>
        <v>170000</v>
      </c>
      <c r="F42" s="481">
        <v>90435</v>
      </c>
      <c r="G42" s="465">
        <f>+E42-D42</f>
        <v>0</v>
      </c>
      <c r="H42" s="468">
        <f>+G42/D42*100</f>
        <v>0</v>
      </c>
      <c r="I42" s="124"/>
      <c r="J42" s="132"/>
      <c r="K42" s="418"/>
      <c r="L42" s="418"/>
      <c r="M42" s="484" t="s">
        <v>55</v>
      </c>
      <c r="N42" s="484"/>
      <c r="O42" s="484"/>
      <c r="P42" s="132">
        <f>SUM(P43:P44)</f>
        <v>170000000</v>
      </c>
      <c r="Q42" s="127" t="s">
        <v>9</v>
      </c>
    </row>
    <row r="43" spans="1:17" s="51" customFormat="1" ht="17.100000000000001" customHeight="1">
      <c r="A43" s="60"/>
      <c r="B43" s="64"/>
      <c r="C43" s="491"/>
      <c r="D43" s="476"/>
      <c r="E43" s="479"/>
      <c r="F43" s="482"/>
      <c r="G43" s="466"/>
      <c r="H43" s="469"/>
      <c r="I43" s="128" t="s">
        <v>307</v>
      </c>
      <c r="J43" s="87">
        <v>12500000</v>
      </c>
      <c r="K43" s="88" t="s">
        <v>9</v>
      </c>
      <c r="L43" s="89" t="s">
        <v>16</v>
      </c>
      <c r="M43" s="88">
        <v>12</v>
      </c>
      <c r="N43" s="88" t="s">
        <v>13</v>
      </c>
      <c r="O43" s="90" t="s">
        <v>15</v>
      </c>
      <c r="P43" s="87">
        <f>SUM(J43*M43)</f>
        <v>150000000</v>
      </c>
      <c r="Q43" s="91" t="s">
        <v>9</v>
      </c>
    </row>
    <row r="44" spans="1:17" s="51" customFormat="1" ht="17.100000000000001" customHeight="1">
      <c r="A44" s="60"/>
      <c r="B44" s="64"/>
      <c r="C44" s="491"/>
      <c r="D44" s="476"/>
      <c r="E44" s="479"/>
      <c r="F44" s="408"/>
      <c r="G44" s="466"/>
      <c r="H44" s="469"/>
      <c r="I44" s="128" t="s">
        <v>384</v>
      </c>
      <c r="J44" s="87">
        <v>10000000</v>
      </c>
      <c r="K44" s="88" t="s">
        <v>9</v>
      </c>
      <c r="L44" s="89" t="s">
        <v>16</v>
      </c>
      <c r="M44" s="88">
        <v>2</v>
      </c>
      <c r="N44" s="88" t="s">
        <v>23</v>
      </c>
      <c r="O44" s="90" t="s">
        <v>35</v>
      </c>
      <c r="P44" s="87">
        <f>SUM(J44*M44)</f>
        <v>20000000</v>
      </c>
      <c r="Q44" s="91" t="s">
        <v>9</v>
      </c>
    </row>
    <row r="45" spans="1:17" s="51" customFormat="1" ht="17.100000000000001" customHeight="1">
      <c r="A45" s="41"/>
      <c r="B45" s="399"/>
      <c r="C45" s="490" t="s">
        <v>185</v>
      </c>
      <c r="D45" s="475">
        <v>206000</v>
      </c>
      <c r="E45" s="508">
        <f>(P45/1000)</f>
        <v>206000</v>
      </c>
      <c r="F45" s="407">
        <v>61780</v>
      </c>
      <c r="G45" s="465">
        <f>+E45-D45</f>
        <v>0</v>
      </c>
      <c r="H45" s="468">
        <f>G45/D45*100</f>
        <v>0</v>
      </c>
      <c r="I45" s="134"/>
      <c r="J45" s="125"/>
      <c r="K45" s="418"/>
      <c r="L45" s="418"/>
      <c r="M45" s="484" t="s">
        <v>55</v>
      </c>
      <c r="N45" s="484"/>
      <c r="O45" s="484"/>
      <c r="P45" s="125">
        <f>SUM(P46:P49)</f>
        <v>206000000</v>
      </c>
      <c r="Q45" s="127" t="s">
        <v>9</v>
      </c>
    </row>
    <row r="46" spans="1:17" s="51" customFormat="1" ht="17.100000000000001" customHeight="1">
      <c r="A46" s="41"/>
      <c r="B46" s="399"/>
      <c r="C46" s="491"/>
      <c r="D46" s="476"/>
      <c r="E46" s="509"/>
      <c r="F46" s="408"/>
      <c r="G46" s="466"/>
      <c r="H46" s="469"/>
      <c r="I46" s="128" t="s">
        <v>300</v>
      </c>
      <c r="J46" s="87">
        <v>100000000</v>
      </c>
      <c r="K46" s="88" t="s">
        <v>9</v>
      </c>
      <c r="L46" s="89" t="s">
        <v>16</v>
      </c>
      <c r="M46" s="88">
        <v>1</v>
      </c>
      <c r="N46" s="88" t="s">
        <v>23</v>
      </c>
      <c r="O46" s="90" t="s">
        <v>15</v>
      </c>
      <c r="P46" s="87">
        <f>SUM(J46*M46)</f>
        <v>100000000</v>
      </c>
      <c r="Q46" s="91" t="s">
        <v>9</v>
      </c>
    </row>
    <row r="47" spans="1:17" s="51" customFormat="1" ht="17.100000000000001" customHeight="1">
      <c r="A47" s="41"/>
      <c r="B47" s="399"/>
      <c r="C47" s="491"/>
      <c r="D47" s="476"/>
      <c r="E47" s="509"/>
      <c r="F47" s="408"/>
      <c r="G47" s="466"/>
      <c r="H47" s="469"/>
      <c r="I47" s="128" t="s">
        <v>474</v>
      </c>
      <c r="J47" s="87">
        <v>10000000</v>
      </c>
      <c r="K47" s="88" t="s">
        <v>9</v>
      </c>
      <c r="L47" s="89" t="s">
        <v>16</v>
      </c>
      <c r="M47" s="88">
        <v>1</v>
      </c>
      <c r="N47" s="88" t="s">
        <v>23</v>
      </c>
      <c r="O47" s="90" t="s">
        <v>15</v>
      </c>
      <c r="P47" s="87">
        <f>SUM(J47*M47)</f>
        <v>10000000</v>
      </c>
      <c r="Q47" s="91" t="s">
        <v>9</v>
      </c>
    </row>
    <row r="48" spans="1:17" s="51" customFormat="1" ht="17.100000000000001" customHeight="1">
      <c r="A48" s="60"/>
      <c r="B48" s="64"/>
      <c r="C48" s="491"/>
      <c r="D48" s="476"/>
      <c r="E48" s="509"/>
      <c r="F48" s="408"/>
      <c r="G48" s="466"/>
      <c r="H48" s="469"/>
      <c r="I48" s="86" t="s">
        <v>271</v>
      </c>
      <c r="J48" s="87">
        <v>20000000</v>
      </c>
      <c r="K48" s="88" t="s">
        <v>9</v>
      </c>
      <c r="L48" s="89" t="s">
        <v>16</v>
      </c>
      <c r="M48" s="88">
        <v>3</v>
      </c>
      <c r="N48" s="88" t="s">
        <v>23</v>
      </c>
      <c r="O48" s="90" t="s">
        <v>15</v>
      </c>
      <c r="P48" s="87">
        <f>SUM(J48*M48)</f>
        <v>60000000</v>
      </c>
      <c r="Q48" s="91" t="s">
        <v>9</v>
      </c>
    </row>
    <row r="49" spans="1:17" s="51" customFormat="1" ht="17.100000000000001" customHeight="1" thickBot="1">
      <c r="A49" s="135"/>
      <c r="B49" s="136"/>
      <c r="C49" s="495"/>
      <c r="D49" s="496"/>
      <c r="E49" s="510"/>
      <c r="F49" s="415"/>
      <c r="G49" s="485"/>
      <c r="H49" s="486"/>
      <c r="I49" s="370" t="s">
        <v>398</v>
      </c>
      <c r="J49" s="137">
        <v>9000000</v>
      </c>
      <c r="K49" s="138" t="s">
        <v>9</v>
      </c>
      <c r="L49" s="139" t="s">
        <v>16</v>
      </c>
      <c r="M49" s="138">
        <v>4</v>
      </c>
      <c r="N49" s="138" t="s">
        <v>23</v>
      </c>
      <c r="O49" s="140" t="s">
        <v>15</v>
      </c>
      <c r="P49" s="137">
        <f>SUM(J49*M49)</f>
        <v>36000000</v>
      </c>
      <c r="Q49" s="141" t="s">
        <v>9</v>
      </c>
    </row>
    <row r="50" spans="1:17" ht="17.100000000000001" customHeight="1">
      <c r="A50" s="41" t="s">
        <v>19</v>
      </c>
      <c r="B50" s="399" t="s">
        <v>36</v>
      </c>
      <c r="C50" s="397" t="s">
        <v>39</v>
      </c>
      <c r="D50" s="404">
        <f>SUM(D51:D62)</f>
        <v>619650</v>
      </c>
      <c r="E50" s="406">
        <f>SUM(E51:E62)</f>
        <v>619649.99992000009</v>
      </c>
      <c r="F50" s="408">
        <f>SUM(F51:F62)</f>
        <v>624554</v>
      </c>
      <c r="G50" s="416">
        <f>+E50-D50</f>
        <v>-7.9999910667538643E-5</v>
      </c>
      <c r="H50" s="417">
        <f>+G50/D50*100</f>
        <v>-1.2910499583238707E-8</v>
      </c>
      <c r="I50" s="22"/>
      <c r="J50" s="22"/>
      <c r="K50" s="436"/>
      <c r="L50" s="436"/>
      <c r="M50" s="22"/>
      <c r="N50" s="22"/>
      <c r="O50" s="22"/>
      <c r="P50" s="84">
        <f>SUM(P51,P54)</f>
        <v>619649999.92000008</v>
      </c>
      <c r="Q50" s="12" t="s">
        <v>9</v>
      </c>
    </row>
    <row r="51" spans="1:17" ht="17.100000000000001" customHeight="1">
      <c r="A51" s="60"/>
      <c r="B51" s="399" t="s">
        <v>19</v>
      </c>
      <c r="C51" s="498" t="s">
        <v>152</v>
      </c>
      <c r="D51" s="475">
        <v>32610</v>
      </c>
      <c r="E51" s="478">
        <f>+P51/1000</f>
        <v>32610</v>
      </c>
      <c r="F51" s="481">
        <v>72575</v>
      </c>
      <c r="G51" s="465">
        <f>+E51-D51</f>
        <v>0</v>
      </c>
      <c r="H51" s="487">
        <f>G51/D51*100</f>
        <v>0</v>
      </c>
      <c r="I51" s="124"/>
      <c r="J51" s="132"/>
      <c r="K51" s="418"/>
      <c r="L51" s="418"/>
      <c r="M51" s="484" t="s">
        <v>55</v>
      </c>
      <c r="N51" s="484"/>
      <c r="O51" s="484"/>
      <c r="P51" s="132">
        <f>SUM(P52:P53)</f>
        <v>32610000</v>
      </c>
      <c r="Q51" s="127" t="s">
        <v>9</v>
      </c>
    </row>
    <row r="52" spans="1:17" ht="17.100000000000001" customHeight="1">
      <c r="A52" s="60"/>
      <c r="B52" s="64"/>
      <c r="C52" s="498"/>
      <c r="D52" s="476"/>
      <c r="E52" s="479"/>
      <c r="F52" s="482"/>
      <c r="G52" s="466">
        <f>+D52-E52</f>
        <v>0</v>
      </c>
      <c r="H52" s="488"/>
      <c r="I52" s="128" t="s">
        <v>291</v>
      </c>
      <c r="J52" s="87">
        <v>935000</v>
      </c>
      <c r="K52" s="88" t="s">
        <v>9</v>
      </c>
      <c r="L52" s="89" t="s">
        <v>16</v>
      </c>
      <c r="M52" s="88">
        <v>6</v>
      </c>
      <c r="N52" s="88" t="s">
        <v>13</v>
      </c>
      <c r="O52" s="90" t="s">
        <v>15</v>
      </c>
      <c r="P52" s="87">
        <f>J52*M52</f>
        <v>5610000</v>
      </c>
      <c r="Q52" s="91" t="s">
        <v>9</v>
      </c>
    </row>
    <row r="53" spans="1:17" ht="17.100000000000001" customHeight="1">
      <c r="A53" s="60"/>
      <c r="B53" s="64"/>
      <c r="C53" s="498"/>
      <c r="D53" s="477"/>
      <c r="E53" s="480"/>
      <c r="F53" s="483"/>
      <c r="G53" s="467"/>
      <c r="H53" s="489"/>
      <c r="I53" s="131" t="s">
        <v>272</v>
      </c>
      <c r="J53" s="101">
        <v>100000</v>
      </c>
      <c r="K53" s="98" t="s">
        <v>9</v>
      </c>
      <c r="L53" s="99" t="s">
        <v>16</v>
      </c>
      <c r="M53" s="374">
        <v>270</v>
      </c>
      <c r="N53" s="98" t="s">
        <v>23</v>
      </c>
      <c r="O53" s="100" t="s">
        <v>15</v>
      </c>
      <c r="P53" s="101">
        <f>J53*M53</f>
        <v>27000000</v>
      </c>
      <c r="Q53" s="102" t="s">
        <v>9</v>
      </c>
    </row>
    <row r="54" spans="1:17" ht="17.100000000000001" customHeight="1">
      <c r="A54" s="41" t="s">
        <v>454</v>
      </c>
      <c r="B54" s="399" t="s">
        <v>455</v>
      </c>
      <c r="C54" s="497" t="s">
        <v>247</v>
      </c>
      <c r="D54" s="475">
        <v>587040</v>
      </c>
      <c r="E54" s="478">
        <f>+P54/1000</f>
        <v>587039.99992000009</v>
      </c>
      <c r="F54" s="481">
        <v>551979</v>
      </c>
      <c r="G54" s="465">
        <f>+E54-D54</f>
        <v>-7.9999910667538643E-5</v>
      </c>
      <c r="H54" s="468">
        <f>+G54/D54*100</f>
        <v>-1.3627676251624872E-8</v>
      </c>
      <c r="I54" s="124"/>
      <c r="J54" s="132"/>
      <c r="K54" s="418"/>
      <c r="L54" s="418"/>
      <c r="M54" s="418" t="s">
        <v>55</v>
      </c>
      <c r="N54" s="418"/>
      <c r="O54" s="418"/>
      <c r="P54" s="132">
        <f>SUM(P55:P62)</f>
        <v>587039999.92000008</v>
      </c>
      <c r="Q54" s="127" t="s">
        <v>9</v>
      </c>
    </row>
    <row r="55" spans="1:17" ht="17.100000000000001" customHeight="1">
      <c r="A55" s="41"/>
      <c r="B55" s="399" t="s">
        <v>454</v>
      </c>
      <c r="C55" s="498"/>
      <c r="D55" s="476"/>
      <c r="E55" s="479"/>
      <c r="F55" s="482"/>
      <c r="G55" s="466">
        <f>+D55-E55</f>
        <v>0</v>
      </c>
      <c r="H55" s="469" t="e">
        <f>+G55/D55*100</f>
        <v>#DIV/0!</v>
      </c>
      <c r="I55" s="128" t="s">
        <v>228</v>
      </c>
      <c r="J55" s="87">
        <v>16666666.66</v>
      </c>
      <c r="K55" s="88" t="s">
        <v>9</v>
      </c>
      <c r="L55" s="89" t="s">
        <v>16</v>
      </c>
      <c r="M55" s="88">
        <v>12</v>
      </c>
      <c r="N55" s="88" t="s">
        <v>13</v>
      </c>
      <c r="O55" s="90" t="s">
        <v>15</v>
      </c>
      <c r="P55" s="87">
        <f>J55*M55</f>
        <v>199999999.92000002</v>
      </c>
      <c r="Q55" s="91" t="s">
        <v>9</v>
      </c>
    </row>
    <row r="56" spans="1:17" ht="17.100000000000001" customHeight="1">
      <c r="A56" s="60"/>
      <c r="B56" s="64"/>
      <c r="C56" s="490"/>
      <c r="D56" s="476"/>
      <c r="E56" s="479"/>
      <c r="F56" s="482"/>
      <c r="G56" s="466"/>
      <c r="H56" s="469" t="e">
        <f>+G56/D56*100</f>
        <v>#DIV/0!</v>
      </c>
      <c r="I56" s="128" t="s">
        <v>43</v>
      </c>
      <c r="J56" s="87">
        <v>23200000</v>
      </c>
      <c r="K56" s="88" t="s">
        <v>9</v>
      </c>
      <c r="L56" s="89" t="s">
        <v>16</v>
      </c>
      <c r="M56" s="88">
        <v>12</v>
      </c>
      <c r="N56" s="88" t="s">
        <v>13</v>
      </c>
      <c r="O56" s="90" t="s">
        <v>15</v>
      </c>
      <c r="P56" s="87">
        <f>SUM(J56*M56)</f>
        <v>278400000</v>
      </c>
      <c r="Q56" s="91" t="s">
        <v>9</v>
      </c>
    </row>
    <row r="57" spans="1:17" ht="17.100000000000001" customHeight="1">
      <c r="A57" s="60"/>
      <c r="B57" s="64"/>
      <c r="C57" s="490"/>
      <c r="D57" s="476"/>
      <c r="E57" s="479"/>
      <c r="F57" s="482"/>
      <c r="G57" s="466"/>
      <c r="H57" s="469"/>
      <c r="I57" s="121" t="s">
        <v>338</v>
      </c>
      <c r="J57" s="87">
        <v>14000000</v>
      </c>
      <c r="K57" s="88" t="s">
        <v>9</v>
      </c>
      <c r="L57" s="89" t="s">
        <v>16</v>
      </c>
      <c r="M57" s="88">
        <v>1</v>
      </c>
      <c r="N57" s="88" t="s">
        <v>23</v>
      </c>
      <c r="O57" s="90" t="s">
        <v>15</v>
      </c>
      <c r="P57" s="87">
        <f>SUM(J57*M57)</f>
        <v>14000000</v>
      </c>
      <c r="Q57" s="91" t="s">
        <v>9</v>
      </c>
    </row>
    <row r="58" spans="1:17" ht="17.100000000000001" customHeight="1">
      <c r="A58" s="60"/>
      <c r="B58" s="64"/>
      <c r="C58" s="490"/>
      <c r="D58" s="476"/>
      <c r="E58" s="479"/>
      <c r="F58" s="482"/>
      <c r="G58" s="466"/>
      <c r="H58" s="469"/>
      <c r="I58" s="121" t="s">
        <v>334</v>
      </c>
      <c r="J58" s="87">
        <v>7000000</v>
      </c>
      <c r="K58" s="88" t="s">
        <v>9</v>
      </c>
      <c r="L58" s="89" t="s">
        <v>16</v>
      </c>
      <c r="M58" s="88">
        <v>2</v>
      </c>
      <c r="N58" s="88" t="s">
        <v>23</v>
      </c>
      <c r="O58" s="90" t="s">
        <v>15</v>
      </c>
      <c r="P58" s="87">
        <f>SUM(J58*M58)</f>
        <v>14000000</v>
      </c>
      <c r="Q58" s="91" t="s">
        <v>9</v>
      </c>
    </row>
    <row r="59" spans="1:17" ht="17.100000000000001" customHeight="1">
      <c r="A59" s="60"/>
      <c r="B59" s="64"/>
      <c r="C59" s="490"/>
      <c r="D59" s="476"/>
      <c r="E59" s="479"/>
      <c r="F59" s="482"/>
      <c r="G59" s="466"/>
      <c r="H59" s="469"/>
      <c r="I59" s="128" t="s">
        <v>146</v>
      </c>
      <c r="J59" s="87">
        <v>1300000</v>
      </c>
      <c r="K59" s="88" t="s">
        <v>9</v>
      </c>
      <c r="L59" s="89" t="s">
        <v>16</v>
      </c>
      <c r="M59" s="88">
        <v>12</v>
      </c>
      <c r="N59" s="88" t="s">
        <v>23</v>
      </c>
      <c r="O59" s="90" t="s">
        <v>15</v>
      </c>
      <c r="P59" s="87">
        <f>SUM(J59*M59)</f>
        <v>15600000</v>
      </c>
      <c r="Q59" s="142" t="s">
        <v>9</v>
      </c>
    </row>
    <row r="60" spans="1:17" ht="17.100000000000001" customHeight="1">
      <c r="A60" s="60"/>
      <c r="B60" s="64"/>
      <c r="C60" s="490"/>
      <c r="D60" s="476"/>
      <c r="E60" s="479"/>
      <c r="F60" s="482"/>
      <c r="G60" s="466"/>
      <c r="H60" s="469"/>
      <c r="I60" s="128" t="s">
        <v>232</v>
      </c>
      <c r="J60" s="87">
        <v>30000000</v>
      </c>
      <c r="K60" s="88" t="s">
        <v>9</v>
      </c>
      <c r="L60" s="89" t="s">
        <v>16</v>
      </c>
      <c r="M60" s="88">
        <v>2</v>
      </c>
      <c r="N60" s="88" t="s">
        <v>23</v>
      </c>
      <c r="O60" s="90" t="s">
        <v>15</v>
      </c>
      <c r="P60" s="87">
        <f>J60*M60</f>
        <v>60000000</v>
      </c>
      <c r="Q60" s="142" t="s">
        <v>9</v>
      </c>
    </row>
    <row r="61" spans="1:17" ht="17.100000000000001" customHeight="1">
      <c r="A61" s="60"/>
      <c r="B61" s="64"/>
      <c r="C61" s="490"/>
      <c r="D61" s="476"/>
      <c r="E61" s="479"/>
      <c r="F61" s="482"/>
      <c r="G61" s="466"/>
      <c r="H61" s="469" t="e">
        <f>+G61/D61*100</f>
        <v>#DIV/0!</v>
      </c>
      <c r="I61" s="128" t="s">
        <v>234</v>
      </c>
      <c r="J61" s="87">
        <v>300000</v>
      </c>
      <c r="K61" s="88" t="s">
        <v>9</v>
      </c>
      <c r="L61" s="89" t="s">
        <v>16</v>
      </c>
      <c r="M61" s="88">
        <v>12</v>
      </c>
      <c r="N61" s="88" t="s">
        <v>23</v>
      </c>
      <c r="O61" s="90" t="s">
        <v>15</v>
      </c>
      <c r="P61" s="87">
        <f>SUM(J61*M61)</f>
        <v>3600000</v>
      </c>
      <c r="Q61" s="142" t="s">
        <v>9</v>
      </c>
    </row>
    <row r="62" spans="1:17" ht="17.100000000000001" customHeight="1">
      <c r="A62" s="60"/>
      <c r="B62" s="64"/>
      <c r="C62" s="490"/>
      <c r="D62" s="476"/>
      <c r="E62" s="479"/>
      <c r="F62" s="482"/>
      <c r="G62" s="466"/>
      <c r="H62" s="469"/>
      <c r="I62" s="86" t="s">
        <v>4</v>
      </c>
      <c r="J62" s="87">
        <v>120000</v>
      </c>
      <c r="K62" s="88" t="s">
        <v>9</v>
      </c>
      <c r="L62" s="89" t="s">
        <v>16</v>
      </c>
      <c r="M62" s="88">
        <v>12</v>
      </c>
      <c r="N62" s="88" t="s">
        <v>23</v>
      </c>
      <c r="O62" s="90" t="s">
        <v>15</v>
      </c>
      <c r="P62" s="87">
        <f>J62*M62</f>
        <v>1440000</v>
      </c>
      <c r="Q62" s="91" t="s">
        <v>9</v>
      </c>
    </row>
    <row r="63" spans="1:17" ht="18.95" customHeight="1">
      <c r="A63" s="73" t="s">
        <v>27</v>
      </c>
      <c r="B63" s="493" t="s">
        <v>22</v>
      </c>
      <c r="C63" s="494"/>
      <c r="D63" s="74">
        <f>SUM(D64)</f>
        <v>1628574</v>
      </c>
      <c r="E63" s="75">
        <f>SUM(E64)</f>
        <v>1722232.1099200002</v>
      </c>
      <c r="F63" s="103">
        <f>SUM(F64)</f>
        <v>875385</v>
      </c>
      <c r="G63" s="77">
        <f>+E63-D63</f>
        <v>93658.109920000192</v>
      </c>
      <c r="H63" s="78">
        <f>+G63/D63*100</f>
        <v>5.7509274936232675</v>
      </c>
      <c r="I63" s="79"/>
      <c r="J63" s="79"/>
      <c r="K63" s="413"/>
      <c r="L63" s="413"/>
      <c r="M63" s="79"/>
      <c r="N63" s="79"/>
      <c r="O63" s="79"/>
      <c r="P63" s="80">
        <f>P64</f>
        <v>1722232109.9200001</v>
      </c>
      <c r="Q63" s="81" t="s">
        <v>9</v>
      </c>
    </row>
    <row r="64" spans="1:17" ht="17.100000000000001" customHeight="1">
      <c r="A64" s="60"/>
      <c r="B64" s="399" t="s">
        <v>27</v>
      </c>
      <c r="C64" s="412" t="s">
        <v>39</v>
      </c>
      <c r="D64" s="105">
        <f>SUM(D65:D76)</f>
        <v>1628574</v>
      </c>
      <c r="E64" s="143">
        <f>P64/1000</f>
        <v>1722232.1099200002</v>
      </c>
      <c r="F64" s="144">
        <f>SUM(F65:F67)</f>
        <v>875385</v>
      </c>
      <c r="G64" s="55">
        <f>+E64-D64</f>
        <v>93658.109920000192</v>
      </c>
      <c r="H64" s="414">
        <f>+G64/D64*100</f>
        <v>5.7509274936232675</v>
      </c>
      <c r="I64" s="22"/>
      <c r="J64" s="22"/>
      <c r="K64" s="436"/>
      <c r="L64" s="436"/>
      <c r="M64" s="22"/>
      <c r="N64" s="22"/>
      <c r="O64" s="22"/>
      <c r="P64" s="84">
        <f>SUM(P65,P68,P71,P74)</f>
        <v>1722232109.9200001</v>
      </c>
      <c r="Q64" s="12" t="s">
        <v>9</v>
      </c>
    </row>
    <row r="65" spans="1:17" ht="17.100000000000001" customHeight="1">
      <c r="A65" s="60"/>
      <c r="B65" s="64"/>
      <c r="C65" s="490" t="s">
        <v>107</v>
      </c>
      <c r="D65" s="475">
        <v>780056</v>
      </c>
      <c r="E65" s="478">
        <f>+P65/1000</f>
        <v>780055.99991999997</v>
      </c>
      <c r="F65" s="481">
        <v>875385</v>
      </c>
      <c r="G65" s="465">
        <f>+E65-D65</f>
        <v>-8.000002708286047E-5</v>
      </c>
      <c r="H65" s="468">
        <f>+G65/D65*100</f>
        <v>-1.0255677423526065E-8</v>
      </c>
      <c r="I65" s="62"/>
      <c r="J65" s="63"/>
      <c r="K65" s="398"/>
      <c r="L65" s="398"/>
      <c r="M65" s="471" t="s">
        <v>55</v>
      </c>
      <c r="N65" s="471"/>
      <c r="O65" s="471"/>
      <c r="P65" s="63">
        <f>SUM(P66:P67)</f>
        <v>780055999.91999996</v>
      </c>
      <c r="Q65" s="59" t="s">
        <v>9</v>
      </c>
    </row>
    <row r="66" spans="1:17" ht="17.100000000000001" customHeight="1">
      <c r="A66" s="60"/>
      <c r="B66" s="64"/>
      <c r="C66" s="491"/>
      <c r="D66" s="476"/>
      <c r="E66" s="479"/>
      <c r="F66" s="482"/>
      <c r="G66" s="466">
        <f>+E66-D66</f>
        <v>0</v>
      </c>
      <c r="H66" s="469"/>
      <c r="I66" s="66" t="s">
        <v>274</v>
      </c>
      <c r="J66" s="72">
        <v>13338000</v>
      </c>
      <c r="K66" s="436" t="s">
        <v>9</v>
      </c>
      <c r="L66" s="23" t="s">
        <v>16</v>
      </c>
      <c r="M66" s="436">
        <v>12</v>
      </c>
      <c r="N66" s="436" t="s">
        <v>13</v>
      </c>
      <c r="O66" s="24" t="s">
        <v>15</v>
      </c>
      <c r="P66" s="72">
        <f>J66*M66</f>
        <v>160056000</v>
      </c>
      <c r="Q66" s="12" t="s">
        <v>9</v>
      </c>
    </row>
    <row r="67" spans="1:17" ht="17.100000000000001" customHeight="1">
      <c r="A67" s="60"/>
      <c r="B67" s="64"/>
      <c r="C67" s="492"/>
      <c r="D67" s="477"/>
      <c r="E67" s="480"/>
      <c r="F67" s="483"/>
      <c r="G67" s="467">
        <f>+E67-D67</f>
        <v>0</v>
      </c>
      <c r="H67" s="470"/>
      <c r="I67" s="384" t="s">
        <v>259</v>
      </c>
      <c r="J67" s="69">
        <v>51666666.659999996</v>
      </c>
      <c r="K67" s="16" t="s">
        <v>9</v>
      </c>
      <c r="L67" s="15" t="s">
        <v>16</v>
      </c>
      <c r="M67" s="16">
        <v>12</v>
      </c>
      <c r="N67" s="16" t="s">
        <v>23</v>
      </c>
      <c r="O67" s="17" t="s">
        <v>15</v>
      </c>
      <c r="P67" s="69">
        <f>SUM(J67*M67)</f>
        <v>619999999.91999996</v>
      </c>
      <c r="Q67" s="18" t="s">
        <v>9</v>
      </c>
    </row>
    <row r="68" spans="1:17" ht="17.100000000000001" customHeight="1">
      <c r="A68" s="60"/>
      <c r="B68" s="64"/>
      <c r="C68" s="490" t="s">
        <v>75</v>
      </c>
      <c r="D68" s="475">
        <v>301718</v>
      </c>
      <c r="E68" s="478">
        <f>+P68/1000</f>
        <v>295376.11</v>
      </c>
      <c r="F68" s="481">
        <v>593059</v>
      </c>
      <c r="G68" s="465">
        <f>E68-D68</f>
        <v>-6341.890000000014</v>
      </c>
      <c r="H68" s="468">
        <f>+G68/D68*100</f>
        <v>-2.1019263020436347</v>
      </c>
      <c r="I68" s="62"/>
      <c r="J68" s="71"/>
      <c r="K68" s="398"/>
      <c r="L68" s="398"/>
      <c r="M68" s="471" t="s">
        <v>55</v>
      </c>
      <c r="N68" s="471"/>
      <c r="O68" s="471"/>
      <c r="P68" s="71">
        <f>SUM(P69:P70)</f>
        <v>295376110</v>
      </c>
      <c r="Q68" s="59" t="s">
        <v>9</v>
      </c>
    </row>
    <row r="69" spans="1:17" ht="17.100000000000001" customHeight="1">
      <c r="A69" s="60"/>
      <c r="B69" s="397"/>
      <c r="C69" s="491"/>
      <c r="D69" s="476"/>
      <c r="E69" s="479"/>
      <c r="F69" s="482"/>
      <c r="G69" s="466"/>
      <c r="H69" s="469"/>
      <c r="I69" s="121" t="s">
        <v>471</v>
      </c>
      <c r="J69" s="87">
        <v>56773360</v>
      </c>
      <c r="K69" s="436" t="s">
        <v>9</v>
      </c>
      <c r="L69" s="23" t="s">
        <v>16</v>
      </c>
      <c r="M69" s="436">
        <v>1</v>
      </c>
      <c r="N69" s="436" t="s">
        <v>23</v>
      </c>
      <c r="O69" s="147" t="s">
        <v>15</v>
      </c>
      <c r="P69" s="21">
        <f>SUM(J69*M69)</f>
        <v>56773360</v>
      </c>
      <c r="Q69" s="12" t="s">
        <v>9</v>
      </c>
    </row>
    <row r="70" spans="1:17" ht="17.100000000000001" customHeight="1">
      <c r="A70" s="60"/>
      <c r="B70" s="397"/>
      <c r="C70" s="492"/>
      <c r="D70" s="477"/>
      <c r="E70" s="480"/>
      <c r="F70" s="483"/>
      <c r="G70" s="467"/>
      <c r="H70" s="470"/>
      <c r="I70" s="131" t="s">
        <v>472</v>
      </c>
      <c r="J70" s="101">
        <v>238602750</v>
      </c>
      <c r="K70" s="98" t="s">
        <v>9</v>
      </c>
      <c r="L70" s="99" t="s">
        <v>16</v>
      </c>
      <c r="M70" s="98">
        <v>1</v>
      </c>
      <c r="N70" s="98" t="s">
        <v>23</v>
      </c>
      <c r="O70" s="100" t="s">
        <v>15</v>
      </c>
      <c r="P70" s="101">
        <f>SUM(J70*M70)</f>
        <v>238602750</v>
      </c>
      <c r="Q70" s="102" t="s">
        <v>9</v>
      </c>
    </row>
    <row r="71" spans="1:17" ht="17.100000000000001" customHeight="1">
      <c r="A71" s="41"/>
      <c r="B71" s="399"/>
      <c r="C71" s="472" t="s">
        <v>80</v>
      </c>
      <c r="D71" s="475">
        <v>380000</v>
      </c>
      <c r="E71" s="478">
        <f>+P71/1000</f>
        <v>480000</v>
      </c>
      <c r="F71" s="481">
        <v>538723</v>
      </c>
      <c r="G71" s="465">
        <f>+E71-D71</f>
        <v>100000</v>
      </c>
      <c r="H71" s="468">
        <f>+G71/D71*100</f>
        <v>26.315789473684209</v>
      </c>
      <c r="I71" s="62"/>
      <c r="J71" s="132"/>
      <c r="K71" s="418"/>
      <c r="L71" s="418"/>
      <c r="M71" s="484" t="s">
        <v>55</v>
      </c>
      <c r="N71" s="484"/>
      <c r="O71" s="484"/>
      <c r="P71" s="132">
        <f>SUM(P72:P73)</f>
        <v>480000000</v>
      </c>
      <c r="Q71" s="127" t="s">
        <v>9</v>
      </c>
    </row>
    <row r="72" spans="1:17" ht="17.100000000000001" customHeight="1">
      <c r="A72" s="60"/>
      <c r="B72" s="397"/>
      <c r="C72" s="473"/>
      <c r="D72" s="476"/>
      <c r="E72" s="479"/>
      <c r="F72" s="482"/>
      <c r="G72" s="466"/>
      <c r="H72" s="469"/>
      <c r="I72" s="121" t="s">
        <v>306</v>
      </c>
      <c r="J72" s="87">
        <v>120000000</v>
      </c>
      <c r="K72" s="88" t="s">
        <v>9</v>
      </c>
      <c r="L72" s="89" t="s">
        <v>16</v>
      </c>
      <c r="M72" s="88">
        <v>2</v>
      </c>
      <c r="N72" s="88" t="s">
        <v>23</v>
      </c>
      <c r="O72" s="90" t="s">
        <v>15</v>
      </c>
      <c r="P72" s="87">
        <f>SUM(J72*M72)</f>
        <v>240000000</v>
      </c>
      <c r="Q72" s="91" t="s">
        <v>9</v>
      </c>
    </row>
    <row r="73" spans="1:17" ht="17.100000000000001" customHeight="1">
      <c r="A73" s="60"/>
      <c r="B73" s="397"/>
      <c r="C73" s="474"/>
      <c r="D73" s="477"/>
      <c r="E73" s="480"/>
      <c r="F73" s="483"/>
      <c r="G73" s="467">
        <f>+D73-E73</f>
        <v>0</v>
      </c>
      <c r="H73" s="470"/>
      <c r="I73" s="368" t="s">
        <v>404</v>
      </c>
      <c r="J73" s="101">
        <v>60000000</v>
      </c>
      <c r="K73" s="98" t="s">
        <v>9</v>
      </c>
      <c r="L73" s="99" t="s">
        <v>16</v>
      </c>
      <c r="M73" s="98">
        <v>4</v>
      </c>
      <c r="N73" s="98" t="s">
        <v>23</v>
      </c>
      <c r="O73" s="100" t="s">
        <v>15</v>
      </c>
      <c r="P73" s="101">
        <f>SUM(J73*M73)</f>
        <v>240000000</v>
      </c>
      <c r="Q73" s="102" t="s">
        <v>9</v>
      </c>
    </row>
    <row r="74" spans="1:17" ht="17.100000000000001" customHeight="1">
      <c r="A74" s="41"/>
      <c r="B74" s="400"/>
      <c r="C74" s="490" t="s">
        <v>79</v>
      </c>
      <c r="D74" s="475">
        <v>166800</v>
      </c>
      <c r="E74" s="478">
        <f>+P74/1000</f>
        <v>166800</v>
      </c>
      <c r="F74" s="481">
        <v>22522</v>
      </c>
      <c r="G74" s="465">
        <f>+E74-D74</f>
        <v>0</v>
      </c>
      <c r="H74" s="468">
        <f>+G74/D74*100</f>
        <v>0</v>
      </c>
      <c r="I74" s="62"/>
      <c r="J74" s="125"/>
      <c r="K74" s="418"/>
      <c r="L74" s="418"/>
      <c r="M74" s="484" t="s">
        <v>55</v>
      </c>
      <c r="N74" s="484"/>
      <c r="O74" s="484"/>
      <c r="P74" s="125">
        <f>SUM(P75:P76)</f>
        <v>166800000</v>
      </c>
      <c r="Q74" s="127" t="s">
        <v>9</v>
      </c>
    </row>
    <row r="75" spans="1:17" ht="17.100000000000001" customHeight="1">
      <c r="A75" s="60"/>
      <c r="B75" s="397"/>
      <c r="C75" s="491"/>
      <c r="D75" s="476"/>
      <c r="E75" s="479"/>
      <c r="F75" s="482"/>
      <c r="G75" s="466"/>
      <c r="H75" s="469"/>
      <c r="I75" s="149" t="s">
        <v>406</v>
      </c>
      <c r="J75" s="87">
        <v>5200000</v>
      </c>
      <c r="K75" s="88" t="s">
        <v>9</v>
      </c>
      <c r="L75" s="89" t="s">
        <v>16</v>
      </c>
      <c r="M75" s="88">
        <v>12</v>
      </c>
      <c r="N75" s="88" t="s">
        <v>13</v>
      </c>
      <c r="O75" s="90" t="s">
        <v>15</v>
      </c>
      <c r="P75" s="87">
        <f>SUM(J75*M75)</f>
        <v>62400000</v>
      </c>
      <c r="Q75" s="91" t="s">
        <v>9</v>
      </c>
    </row>
    <row r="76" spans="1:17" ht="17.100000000000001" customHeight="1">
      <c r="A76" s="92"/>
      <c r="B76" s="93"/>
      <c r="C76" s="492"/>
      <c r="D76" s="477"/>
      <c r="E76" s="480"/>
      <c r="F76" s="68"/>
      <c r="G76" s="467"/>
      <c r="H76" s="470"/>
      <c r="I76" s="150" t="s">
        <v>442</v>
      </c>
      <c r="J76" s="101">
        <v>8700000</v>
      </c>
      <c r="K76" s="98" t="s">
        <v>9</v>
      </c>
      <c r="L76" s="99" t="s">
        <v>16</v>
      </c>
      <c r="M76" s="98">
        <v>12</v>
      </c>
      <c r="N76" s="98" t="s">
        <v>23</v>
      </c>
      <c r="O76" s="100" t="s">
        <v>15</v>
      </c>
      <c r="P76" s="101">
        <f>SUM(J76*M76)</f>
        <v>104400000</v>
      </c>
      <c r="Q76" s="102" t="s">
        <v>9</v>
      </c>
    </row>
    <row r="77" spans="1:17" ht="18.95" customHeight="1">
      <c r="A77" s="73" t="s">
        <v>44</v>
      </c>
      <c r="B77" s="493" t="s">
        <v>22</v>
      </c>
      <c r="C77" s="494"/>
      <c r="D77" s="74">
        <f>SUM(D78)</f>
        <v>4747083</v>
      </c>
      <c r="E77" s="75">
        <f>SUM(E78)</f>
        <v>4759082.949</v>
      </c>
      <c r="F77" s="103">
        <f>SUM(F78)</f>
        <v>1596860</v>
      </c>
      <c r="G77" s="77">
        <f>+E77-D77</f>
        <v>11999.949000000022</v>
      </c>
      <c r="H77" s="78">
        <f t="shared" ref="H77:H89" si="5">+G77/D77*100</f>
        <v>0.25278574231796713</v>
      </c>
      <c r="I77" s="79"/>
      <c r="J77" s="79"/>
      <c r="K77" s="413"/>
      <c r="L77" s="413"/>
      <c r="M77" s="79"/>
      <c r="N77" s="79"/>
      <c r="O77" s="79"/>
      <c r="P77" s="80">
        <f>SUM(P78)</f>
        <v>4759082949</v>
      </c>
      <c r="Q77" s="81" t="s">
        <v>9</v>
      </c>
    </row>
    <row r="78" spans="1:17" ht="17.100000000000001" customHeight="1">
      <c r="A78" s="60"/>
      <c r="B78" s="53" t="s">
        <v>44</v>
      </c>
      <c r="C78" s="396" t="s">
        <v>39</v>
      </c>
      <c r="D78" s="403">
        <f>SUM(D79:D81)</f>
        <v>4747083</v>
      </c>
      <c r="E78" s="151">
        <f>SUM(E79:E81)</f>
        <v>4759082.949</v>
      </c>
      <c r="F78" s="152">
        <f>SUM(F79:F81)</f>
        <v>1596860</v>
      </c>
      <c r="G78" s="55">
        <f>E78-D78</f>
        <v>11999.949000000022</v>
      </c>
      <c r="H78" s="414">
        <f t="shared" si="5"/>
        <v>0.25278574231796713</v>
      </c>
      <c r="I78" s="153" t="s">
        <v>41</v>
      </c>
      <c r="J78" s="79" t="s">
        <v>41</v>
      </c>
      <c r="K78" s="398"/>
      <c r="L78" s="398"/>
      <c r="M78" s="153"/>
      <c r="N78" s="499" t="s">
        <v>55</v>
      </c>
      <c r="O78" s="499"/>
      <c r="P78" s="58">
        <f>SUM(P79:P81)</f>
        <v>4759082949</v>
      </c>
      <c r="Q78" s="59" t="s">
        <v>9</v>
      </c>
    </row>
    <row r="79" spans="1:17" ht="17.100000000000001" customHeight="1">
      <c r="A79" s="60"/>
      <c r="B79" s="64"/>
      <c r="C79" s="154" t="s">
        <v>324</v>
      </c>
      <c r="D79" s="155">
        <v>1954175</v>
      </c>
      <c r="E79" s="156">
        <f>+P79/1000</f>
        <v>1954174.817</v>
      </c>
      <c r="F79" s="157">
        <v>313065</v>
      </c>
      <c r="G79" s="55">
        <f>E79-D79</f>
        <v>-0.18299999996088445</v>
      </c>
      <c r="H79" s="414">
        <f t="shared" si="5"/>
        <v>-9.3645656075266778E-6</v>
      </c>
      <c r="I79" s="158" t="s">
        <v>324</v>
      </c>
      <c r="J79" s="159">
        <v>1954174817</v>
      </c>
      <c r="K79" s="79" t="s">
        <v>9</v>
      </c>
      <c r="L79" s="160" t="s">
        <v>16</v>
      </c>
      <c r="M79" s="413">
        <v>1</v>
      </c>
      <c r="N79" s="413" t="s">
        <v>23</v>
      </c>
      <c r="O79" s="161" t="s">
        <v>15</v>
      </c>
      <c r="P79" s="385">
        <f>+J79*M79</f>
        <v>1954174817</v>
      </c>
      <c r="Q79" s="113" t="s">
        <v>9</v>
      </c>
    </row>
    <row r="80" spans="1:17" ht="17.100000000000001" customHeight="1">
      <c r="A80" s="60"/>
      <c r="B80" s="64"/>
      <c r="C80" s="154" t="s">
        <v>100</v>
      </c>
      <c r="D80" s="105">
        <v>810905</v>
      </c>
      <c r="E80" s="156">
        <f>+P80/1000</f>
        <v>810905.10699999996</v>
      </c>
      <c r="F80" s="157">
        <v>1283795</v>
      </c>
      <c r="G80" s="55">
        <f>E80-D80</f>
        <v>0.10699999995995313</v>
      </c>
      <c r="H80" s="414">
        <f t="shared" si="5"/>
        <v>1.3195133827014647E-5</v>
      </c>
      <c r="I80" s="158" t="s">
        <v>100</v>
      </c>
      <c r="J80" s="159">
        <v>810905107</v>
      </c>
      <c r="K80" s="79" t="s">
        <v>9</v>
      </c>
      <c r="L80" s="160" t="s">
        <v>16</v>
      </c>
      <c r="M80" s="413">
        <v>1</v>
      </c>
      <c r="N80" s="413" t="s">
        <v>23</v>
      </c>
      <c r="O80" s="161" t="s">
        <v>15</v>
      </c>
      <c r="P80" s="385">
        <f>+J80*M80</f>
        <v>810905107</v>
      </c>
      <c r="Q80" s="113" t="s">
        <v>9</v>
      </c>
    </row>
    <row r="81" spans="1:17" ht="17.100000000000001" customHeight="1">
      <c r="A81" s="60"/>
      <c r="B81" s="64" t="s">
        <v>41</v>
      </c>
      <c r="C81" s="396" t="s">
        <v>158</v>
      </c>
      <c r="D81" s="105">
        <v>1982003</v>
      </c>
      <c r="E81" s="156">
        <f>+P81/1000</f>
        <v>1994003.0249999999</v>
      </c>
      <c r="F81" s="157">
        <v>0</v>
      </c>
      <c r="G81" s="55">
        <f>E81-D81</f>
        <v>12000.024999999907</v>
      </c>
      <c r="H81" s="414">
        <f t="shared" si="5"/>
        <v>0.60544938630263967</v>
      </c>
      <c r="I81" s="62" t="s">
        <v>158</v>
      </c>
      <c r="J81" s="159">
        <v>1994003025</v>
      </c>
      <c r="K81" s="153" t="s">
        <v>9</v>
      </c>
      <c r="L81" s="70" t="s">
        <v>16</v>
      </c>
      <c r="M81" s="398">
        <v>1</v>
      </c>
      <c r="N81" s="398" t="s">
        <v>23</v>
      </c>
      <c r="O81" s="162" t="s">
        <v>15</v>
      </c>
      <c r="P81" s="71">
        <f>+J81*M81</f>
        <v>1994003025</v>
      </c>
      <c r="Q81" s="59" t="s">
        <v>9</v>
      </c>
    </row>
    <row r="82" spans="1:17" ht="18.95" customHeight="1">
      <c r="A82" s="73" t="s">
        <v>32</v>
      </c>
      <c r="B82" s="494" t="s">
        <v>22</v>
      </c>
      <c r="C82" s="502"/>
      <c r="D82" s="163">
        <f>D83</f>
        <v>83918</v>
      </c>
      <c r="E82" s="164">
        <f>E83</f>
        <v>255086.75</v>
      </c>
      <c r="F82" s="74">
        <f>F83</f>
        <v>0</v>
      </c>
      <c r="G82" s="165">
        <f>G83</f>
        <v>171168.75</v>
      </c>
      <c r="H82" s="78">
        <f t="shared" si="5"/>
        <v>203.97143640220213</v>
      </c>
      <c r="I82" s="62"/>
      <c r="J82" s="71"/>
      <c r="K82" s="153"/>
      <c r="L82" s="70"/>
      <c r="M82" s="398"/>
      <c r="N82" s="398"/>
      <c r="O82" s="162"/>
      <c r="P82" s="166">
        <f>SUM(P83)</f>
        <v>255086750</v>
      </c>
      <c r="Q82" s="167" t="s">
        <v>9</v>
      </c>
    </row>
    <row r="83" spans="1:17" ht="17.100000000000001" customHeight="1">
      <c r="A83" s="41"/>
      <c r="B83" s="399" t="s">
        <v>32</v>
      </c>
      <c r="C83" s="411" t="s">
        <v>39</v>
      </c>
      <c r="D83" s="403">
        <f>SUM(D84:D89)</f>
        <v>83918</v>
      </c>
      <c r="E83" s="151">
        <f>SUM(E84:E89)</f>
        <v>255086.75</v>
      </c>
      <c r="F83" s="168"/>
      <c r="G83" s="55">
        <f>E83-D83</f>
        <v>171168.75</v>
      </c>
      <c r="H83" s="401">
        <f>G83/D83*100</f>
        <v>203.97143640220213</v>
      </c>
      <c r="I83" s="62"/>
      <c r="J83" s="71"/>
      <c r="K83" s="153"/>
      <c r="L83" s="70"/>
      <c r="M83" s="398"/>
      <c r="N83" s="499" t="s">
        <v>55</v>
      </c>
      <c r="O83" s="499"/>
      <c r="P83" s="71">
        <f>SUM(P84:P86)</f>
        <v>255086750</v>
      </c>
      <c r="Q83" s="59" t="s">
        <v>9</v>
      </c>
    </row>
    <row r="84" spans="1:17" ht="17.100000000000001" customHeight="1">
      <c r="A84" s="60"/>
      <c r="B84" s="64"/>
      <c r="C84" s="412" t="s">
        <v>131</v>
      </c>
      <c r="D84" s="105">
        <v>18000</v>
      </c>
      <c r="E84" s="106">
        <f>P84/1000</f>
        <v>18000</v>
      </c>
      <c r="F84" s="169"/>
      <c r="G84" s="55">
        <f>+E84-D84</f>
        <v>0</v>
      </c>
      <c r="H84" s="401">
        <f>G84/D84*100</f>
        <v>0</v>
      </c>
      <c r="I84" s="158" t="s">
        <v>131</v>
      </c>
      <c r="J84" s="159">
        <v>4500000</v>
      </c>
      <c r="K84" s="413" t="s">
        <v>9</v>
      </c>
      <c r="L84" s="160" t="s">
        <v>16</v>
      </c>
      <c r="M84" s="413">
        <v>4</v>
      </c>
      <c r="N84" s="413" t="s">
        <v>64</v>
      </c>
      <c r="O84" s="161" t="s">
        <v>15</v>
      </c>
      <c r="P84" s="159">
        <f>SUM(J84*M84)</f>
        <v>18000000</v>
      </c>
      <c r="Q84" s="113" t="s">
        <v>9</v>
      </c>
    </row>
    <row r="85" spans="1:17" ht="17.100000000000001" customHeight="1">
      <c r="A85" s="60"/>
      <c r="B85" s="64"/>
      <c r="C85" s="412" t="s">
        <v>183</v>
      </c>
      <c r="D85" s="105">
        <v>56918</v>
      </c>
      <c r="E85" s="143">
        <f>P85/1000</f>
        <v>10532.75</v>
      </c>
      <c r="F85" s="169"/>
      <c r="G85" s="55">
        <f>+E85-D85</f>
        <v>-46385.25</v>
      </c>
      <c r="H85" s="414">
        <f>G85/D85*100</f>
        <v>-81.49486981271302</v>
      </c>
      <c r="I85" s="671" t="s">
        <v>462</v>
      </c>
      <c r="J85" s="159">
        <v>10532750</v>
      </c>
      <c r="K85" s="413" t="s">
        <v>9</v>
      </c>
      <c r="L85" s="413" t="s">
        <v>16</v>
      </c>
      <c r="M85" s="79">
        <v>1</v>
      </c>
      <c r="N85" s="413" t="s">
        <v>23</v>
      </c>
      <c r="O85" s="79" t="s">
        <v>15</v>
      </c>
      <c r="P85" s="159">
        <f>J85*M85</f>
        <v>10532750</v>
      </c>
      <c r="Q85" s="113" t="s">
        <v>9</v>
      </c>
    </row>
    <row r="86" spans="1:17" ht="17.100000000000001" customHeight="1">
      <c r="A86" s="60"/>
      <c r="B86" s="64"/>
      <c r="C86" s="490" t="s">
        <v>104</v>
      </c>
      <c r="D86" s="476">
        <v>9000</v>
      </c>
      <c r="E86" s="479">
        <f>+P86/1000</f>
        <v>226554</v>
      </c>
      <c r="F86" s="481">
        <v>6500</v>
      </c>
      <c r="G86" s="466">
        <f>+E86-D86</f>
        <v>217554</v>
      </c>
      <c r="H86" s="500">
        <f t="shared" si="5"/>
        <v>2417.2666666666669</v>
      </c>
      <c r="I86" s="62"/>
      <c r="J86" s="63"/>
      <c r="K86" s="398"/>
      <c r="L86" s="398"/>
      <c r="M86" s="471" t="s">
        <v>55</v>
      </c>
      <c r="N86" s="471"/>
      <c r="O86" s="471"/>
      <c r="P86" s="63">
        <f>SUM(P87:P89)</f>
        <v>226554000</v>
      </c>
      <c r="Q86" s="59" t="s">
        <v>9</v>
      </c>
    </row>
    <row r="87" spans="1:17" ht="17.100000000000001" customHeight="1">
      <c r="A87" s="60"/>
      <c r="B87" s="64"/>
      <c r="C87" s="491"/>
      <c r="D87" s="476"/>
      <c r="E87" s="479"/>
      <c r="F87" s="482"/>
      <c r="G87" s="466"/>
      <c r="H87" s="500" t="e">
        <f t="shared" si="5"/>
        <v>#DIV/0!</v>
      </c>
      <c r="I87" s="86" t="s">
        <v>443</v>
      </c>
      <c r="J87" s="170">
        <v>6500000</v>
      </c>
      <c r="K87" s="88" t="s">
        <v>9</v>
      </c>
      <c r="L87" s="89" t="s">
        <v>16</v>
      </c>
      <c r="M87" s="88">
        <v>1</v>
      </c>
      <c r="N87" s="88" t="s">
        <v>23</v>
      </c>
      <c r="O87" s="90" t="s">
        <v>15</v>
      </c>
      <c r="P87" s="170">
        <f>J87*M87</f>
        <v>6500000</v>
      </c>
      <c r="Q87" s="91" t="s">
        <v>9</v>
      </c>
    </row>
    <row r="88" spans="1:17" ht="17.100000000000001" customHeight="1">
      <c r="A88" s="60"/>
      <c r="B88" s="64"/>
      <c r="C88" s="491"/>
      <c r="D88" s="476"/>
      <c r="E88" s="479"/>
      <c r="F88" s="482"/>
      <c r="G88" s="466"/>
      <c r="H88" s="468"/>
      <c r="I88" s="128" t="s">
        <v>343</v>
      </c>
      <c r="J88" s="170">
        <v>217554000</v>
      </c>
      <c r="K88" s="88" t="s">
        <v>9</v>
      </c>
      <c r="L88" s="89" t="s">
        <v>16</v>
      </c>
      <c r="M88" s="88">
        <v>1</v>
      </c>
      <c r="N88" s="88" t="s">
        <v>23</v>
      </c>
      <c r="O88" s="90" t="s">
        <v>15</v>
      </c>
      <c r="P88" s="170">
        <f>J88*M88</f>
        <v>217554000</v>
      </c>
      <c r="Q88" s="91" t="s">
        <v>9</v>
      </c>
    </row>
    <row r="89" spans="1:17" ht="15.95" customHeight="1" thickBot="1">
      <c r="A89" s="135"/>
      <c r="B89" s="136"/>
      <c r="C89" s="495"/>
      <c r="D89" s="496"/>
      <c r="E89" s="504"/>
      <c r="F89" s="503"/>
      <c r="G89" s="485">
        <f>+E89-D89</f>
        <v>0</v>
      </c>
      <c r="H89" s="501" t="e">
        <f t="shared" si="5"/>
        <v>#DIV/0!</v>
      </c>
      <c r="I89" s="171" t="s">
        <v>104</v>
      </c>
      <c r="J89" s="172">
        <v>2500000</v>
      </c>
      <c r="K89" s="173" t="s">
        <v>9</v>
      </c>
      <c r="L89" s="174" t="s">
        <v>16</v>
      </c>
      <c r="M89" s="173">
        <v>1</v>
      </c>
      <c r="N89" s="173" t="s">
        <v>23</v>
      </c>
      <c r="O89" s="175" t="s">
        <v>15</v>
      </c>
      <c r="P89" s="172">
        <f>SUM(J89*M89)</f>
        <v>2500000</v>
      </c>
      <c r="Q89" s="176" t="s">
        <v>9</v>
      </c>
    </row>
    <row r="98" spans="1:17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</row>
  </sheetData>
  <mergeCells count="128">
    <mergeCell ref="C31:C32"/>
    <mergeCell ref="I4:Q5"/>
    <mergeCell ref="M21:O21"/>
    <mergeCell ref="B7:C7"/>
    <mergeCell ref="G17:G20"/>
    <mergeCell ref="A6:C6"/>
    <mergeCell ref="H17:H20"/>
    <mergeCell ref="C9:C16"/>
    <mergeCell ref="D9:D16"/>
    <mergeCell ref="E9:E16"/>
    <mergeCell ref="H25:H27"/>
    <mergeCell ref="F25:F28"/>
    <mergeCell ref="D25:D27"/>
    <mergeCell ref="A1:Q1"/>
    <mergeCell ref="F31:F32"/>
    <mergeCell ref="D17:D20"/>
    <mergeCell ref="M9:O9"/>
    <mergeCell ref="E4:E5"/>
    <mergeCell ref="A4:A5"/>
    <mergeCell ref="B29:C29"/>
    <mergeCell ref="F4:F5"/>
    <mergeCell ref="B4:B5"/>
    <mergeCell ref="M25:O25"/>
    <mergeCell ref="H31:H32"/>
    <mergeCell ref="E21:E22"/>
    <mergeCell ref="G21:G22"/>
    <mergeCell ref="H21:H22"/>
    <mergeCell ref="E31:E32"/>
    <mergeCell ref="G31:G32"/>
    <mergeCell ref="E25:E27"/>
    <mergeCell ref="G25:G27"/>
    <mergeCell ref="C4:C5"/>
    <mergeCell ref="G4:H4"/>
    <mergeCell ref="C17:C20"/>
    <mergeCell ref="E17:E20"/>
    <mergeCell ref="G9:G16"/>
    <mergeCell ref="H9:H16"/>
    <mergeCell ref="O3:Q3"/>
    <mergeCell ref="F17:F20"/>
    <mergeCell ref="D4:D5"/>
    <mergeCell ref="E45:E49"/>
    <mergeCell ref="C51:C53"/>
    <mergeCell ref="D51:D53"/>
    <mergeCell ref="E51:E53"/>
    <mergeCell ref="C37:C41"/>
    <mergeCell ref="B23:C23"/>
    <mergeCell ref="D31:D32"/>
    <mergeCell ref="B33:C33"/>
    <mergeCell ref="D35:D36"/>
    <mergeCell ref="C25:C27"/>
    <mergeCell ref="E35:E36"/>
    <mergeCell ref="M17:O17"/>
    <mergeCell ref="I25:J25"/>
    <mergeCell ref="C35:C36"/>
    <mergeCell ref="C21:C22"/>
    <mergeCell ref="C42:C44"/>
    <mergeCell ref="D42:D44"/>
    <mergeCell ref="E42:E44"/>
    <mergeCell ref="G42:G44"/>
    <mergeCell ref="H42:H44"/>
    <mergeCell ref="D21:D22"/>
    <mergeCell ref="M86:O86"/>
    <mergeCell ref="N83:O83"/>
    <mergeCell ref="N78:O78"/>
    <mergeCell ref="H86:H89"/>
    <mergeCell ref="B82:C82"/>
    <mergeCell ref="F86:F89"/>
    <mergeCell ref="B77:C77"/>
    <mergeCell ref="C86:C89"/>
    <mergeCell ref="F65:F67"/>
    <mergeCell ref="G86:G89"/>
    <mergeCell ref="G65:G67"/>
    <mergeCell ref="D86:D89"/>
    <mergeCell ref="E86:E89"/>
    <mergeCell ref="C74:C76"/>
    <mergeCell ref="D74:D76"/>
    <mergeCell ref="E74:E76"/>
    <mergeCell ref="F74:F75"/>
    <mergeCell ref="G74:G76"/>
    <mergeCell ref="H74:H76"/>
    <mergeCell ref="M74:O74"/>
    <mergeCell ref="C68:C70"/>
    <mergeCell ref="D68:D70"/>
    <mergeCell ref="E68:E70"/>
    <mergeCell ref="F68:F70"/>
    <mergeCell ref="C65:C67"/>
    <mergeCell ref="B63:C63"/>
    <mergeCell ref="C45:C49"/>
    <mergeCell ref="D45:D49"/>
    <mergeCell ref="D37:D41"/>
    <mergeCell ref="D54:D62"/>
    <mergeCell ref="C54:C62"/>
    <mergeCell ref="E37:E41"/>
    <mergeCell ref="E54:E62"/>
    <mergeCell ref="H54:H62"/>
    <mergeCell ref="M65:O65"/>
    <mergeCell ref="H65:H67"/>
    <mergeCell ref="M45:O45"/>
    <mergeCell ref="H35:H36"/>
    <mergeCell ref="H45:H49"/>
    <mergeCell ref="M37:O37"/>
    <mergeCell ref="M42:O42"/>
    <mergeCell ref="H51:H53"/>
    <mergeCell ref="M51:O51"/>
    <mergeCell ref="A3:B3"/>
    <mergeCell ref="G68:G70"/>
    <mergeCell ref="H68:H70"/>
    <mergeCell ref="M68:O68"/>
    <mergeCell ref="C71:C73"/>
    <mergeCell ref="D71:D73"/>
    <mergeCell ref="E71:E73"/>
    <mergeCell ref="F71:F73"/>
    <mergeCell ref="G71:G73"/>
    <mergeCell ref="H71:H73"/>
    <mergeCell ref="M71:O71"/>
    <mergeCell ref="G45:G49"/>
    <mergeCell ref="F37:F38"/>
    <mergeCell ref="H37:H41"/>
    <mergeCell ref="G37:G41"/>
    <mergeCell ref="F42:F43"/>
    <mergeCell ref="F35:F36"/>
    <mergeCell ref="F51:F53"/>
    <mergeCell ref="G51:G53"/>
    <mergeCell ref="G54:G62"/>
    <mergeCell ref="G35:G36"/>
    <mergeCell ref="F54:F62"/>
    <mergeCell ref="D65:D67"/>
    <mergeCell ref="E65:E67"/>
  </mergeCells>
  <phoneticPr fontId="6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95" orientation="landscape" r:id="rId1"/>
  <headerFooter>
    <oddFooter>&amp;C&amp;"맑은 고딕,Regular"&amp;P</oddFooter>
  </headerFooter>
  <rowBreaks count="3" manualBreakCount="3">
    <brk id="28" max="25" man="1"/>
    <brk id="53" max="25" man="1"/>
    <brk id="76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AF335"/>
  <sheetViews>
    <sheetView tabSelected="1" view="pageBreakPreview" zoomScaleNormal="100" zoomScaleSheetLayoutView="100" workbookViewId="0">
      <pane ySplit="4" topLeftCell="A342" activePane="bottomLeft" state="frozen"/>
      <selection pane="bottomLeft" activeCell="AG47" sqref="AG47"/>
    </sheetView>
  </sheetViews>
  <sheetFormatPr defaultColWidth="9" defaultRowHeight="17.25"/>
  <cols>
    <col min="1" max="1" width="6.625" style="177" customWidth="1"/>
    <col min="2" max="2" width="6.625" style="148" customWidth="1"/>
    <col min="3" max="3" width="12.75" style="148" customWidth="1"/>
    <col min="4" max="4" width="13.125" style="178" customWidth="1"/>
    <col min="5" max="5" width="13.125" style="177" customWidth="1"/>
    <col min="6" max="6" width="13.125" style="177" hidden="1" customWidth="1"/>
    <col min="7" max="7" width="10.625" style="448" customWidth="1"/>
    <col min="8" max="8" width="8.625" style="183" customWidth="1"/>
    <col min="9" max="9" width="21.25" style="184" customWidth="1"/>
    <col min="10" max="10" width="12.75" style="52" customWidth="1"/>
    <col min="11" max="11" width="3.125" style="51" customWidth="1"/>
    <col min="12" max="12" width="3.125" style="185" customWidth="1"/>
    <col min="13" max="13" width="4.25" style="185" customWidth="1"/>
    <col min="14" max="15" width="3.125" style="185" customWidth="1"/>
    <col min="16" max="16" width="13.75" style="52" customWidth="1"/>
    <col min="17" max="17" width="2.625" style="51" customWidth="1"/>
    <col min="18" max="29" width="12.5" style="25" hidden="1" customWidth="1"/>
    <col min="30" max="30" width="13.625" style="26" bestFit="1" customWidth="1"/>
    <col min="31" max="31" width="13.125" style="186" customWidth="1"/>
    <col min="32" max="32" width="12.625" style="186" customWidth="1"/>
    <col min="33" max="33" width="12.625" style="25" customWidth="1"/>
    <col min="34" max="16384" width="9" style="25"/>
  </cols>
  <sheetData>
    <row r="1" spans="1:32" ht="20.25">
      <c r="A1" s="653" t="s">
        <v>246</v>
      </c>
      <c r="B1" s="653"/>
    </row>
    <row r="2" spans="1:32" ht="12.75" customHeight="1" thickBot="1">
      <c r="A2" s="654"/>
      <c r="B2" s="654"/>
      <c r="C2" s="27"/>
      <c r="D2" s="187"/>
      <c r="E2" s="188"/>
      <c r="F2" s="188"/>
      <c r="G2" s="189"/>
      <c r="H2" s="190"/>
      <c r="I2" s="27" t="s">
        <v>41</v>
      </c>
      <c r="J2" s="188"/>
      <c r="K2" s="27"/>
      <c r="L2" s="27"/>
      <c r="M2" s="27"/>
      <c r="N2" s="27"/>
      <c r="O2" s="505" t="s">
        <v>260</v>
      </c>
      <c r="P2" s="505"/>
      <c r="Q2" s="505"/>
    </row>
    <row r="3" spans="1:32" ht="17.25" customHeight="1">
      <c r="A3" s="514" t="s">
        <v>24</v>
      </c>
      <c r="B3" s="531" t="s">
        <v>17</v>
      </c>
      <c r="C3" s="584" t="s">
        <v>18</v>
      </c>
      <c r="D3" s="506" t="s">
        <v>467</v>
      </c>
      <c r="E3" s="506" t="s">
        <v>468</v>
      </c>
      <c r="F3" s="648" t="s">
        <v>5</v>
      </c>
      <c r="G3" s="647" t="s">
        <v>89</v>
      </c>
      <c r="H3" s="647"/>
      <c r="I3" s="584" t="s">
        <v>439</v>
      </c>
      <c r="J3" s="584"/>
      <c r="K3" s="584"/>
      <c r="L3" s="584"/>
      <c r="M3" s="584"/>
      <c r="N3" s="584"/>
      <c r="O3" s="584"/>
      <c r="P3" s="584"/>
      <c r="Q3" s="584"/>
    </row>
    <row r="4" spans="1:32" ht="20.25" customHeight="1" thickBot="1">
      <c r="A4" s="515"/>
      <c r="B4" s="533"/>
      <c r="C4" s="585"/>
      <c r="D4" s="507"/>
      <c r="E4" s="507"/>
      <c r="F4" s="649"/>
      <c r="G4" s="191" t="s">
        <v>46</v>
      </c>
      <c r="H4" s="192" t="s">
        <v>45</v>
      </c>
      <c r="I4" s="585"/>
      <c r="J4" s="585"/>
      <c r="K4" s="585"/>
      <c r="L4" s="585"/>
      <c r="M4" s="585"/>
      <c r="N4" s="585"/>
      <c r="O4" s="585"/>
      <c r="P4" s="585"/>
      <c r="Q4" s="585"/>
    </row>
    <row r="5" spans="1:32" ht="19.5" customHeight="1" thickBot="1">
      <c r="A5" s="536" t="s">
        <v>56</v>
      </c>
      <c r="B5" s="537"/>
      <c r="C5" s="538"/>
      <c r="D5" s="193">
        <f>SUM(D6,D77,D84,D223,D318,D220)</f>
        <v>8115360</v>
      </c>
      <c r="E5" s="193">
        <f>SUM(E6,E77,E84,E223,E318,E220)</f>
        <v>8392197.3837000001</v>
      </c>
      <c r="F5" s="194" t="e">
        <f>SUM(F6,F77,F84,F223,#REF!,F318)</f>
        <v>#REF!</v>
      </c>
      <c r="G5" s="195">
        <f>+E5-D5</f>
        <v>276837.38370000012</v>
      </c>
      <c r="H5" s="196">
        <f t="shared" ref="H5:H36" si="0">+G5/D5*100</f>
        <v>3.4112766864316573</v>
      </c>
      <c r="I5" s="197"/>
      <c r="J5" s="37"/>
      <c r="K5" s="38"/>
      <c r="L5" s="38"/>
      <c r="M5" s="37"/>
      <c r="N5" s="37"/>
      <c r="O5" s="198"/>
      <c r="P5" s="199">
        <f>SUM(P6,P77,P84,P223,P318,P220)</f>
        <v>8392197383.7000008</v>
      </c>
      <c r="Q5" s="200" t="s">
        <v>9</v>
      </c>
    </row>
    <row r="6" spans="1:32" ht="20.100000000000001" customHeight="1" thickTop="1" thickBot="1">
      <c r="A6" s="41" t="s">
        <v>29</v>
      </c>
      <c r="B6" s="655" t="s">
        <v>22</v>
      </c>
      <c r="C6" s="656"/>
      <c r="D6" s="201">
        <f>SUM(D7,D35,D49)</f>
        <v>1676238</v>
      </c>
      <c r="E6" s="202">
        <f>SUM(E7,E35,E49)</f>
        <v>1675801.19988</v>
      </c>
      <c r="F6" s="203">
        <f>SUM(F7,F35,F49)</f>
        <v>869305</v>
      </c>
      <c r="G6" s="204">
        <f>+E6-D6</f>
        <v>-436.80012000002898</v>
      </c>
      <c r="H6" s="205">
        <f t="shared" si="0"/>
        <v>-2.6058359254475139E-2</v>
      </c>
      <c r="I6" s="206"/>
      <c r="J6" s="207"/>
      <c r="K6" s="208"/>
      <c r="L6" s="209"/>
      <c r="M6" s="209"/>
      <c r="N6" s="209"/>
      <c r="O6" s="209"/>
      <c r="P6" s="210">
        <f>SUM(P7,P35,P49)</f>
        <v>1675801199.8800001</v>
      </c>
      <c r="Q6" s="211" t="s">
        <v>9</v>
      </c>
    </row>
    <row r="7" spans="1:32" ht="20.100000000000001" customHeight="1" thickTop="1" thickBot="1">
      <c r="A7" s="212"/>
      <c r="B7" s="399" t="s">
        <v>30</v>
      </c>
      <c r="C7" s="213" t="s">
        <v>39</v>
      </c>
      <c r="D7" s="214">
        <f>SUM(D8:D33)</f>
        <v>1082763</v>
      </c>
      <c r="E7" s="215">
        <f>SUM(E8:E33)</f>
        <v>1082326.19988</v>
      </c>
      <c r="F7" s="216">
        <f>SUM(F8:F33)-1</f>
        <v>582084</v>
      </c>
      <c r="G7" s="217">
        <f>+E7-D7</f>
        <v>-436.80012000002898</v>
      </c>
      <c r="H7" s="218">
        <f t="shared" si="0"/>
        <v>-4.0341249193039379E-2</v>
      </c>
      <c r="I7" s="219"/>
      <c r="J7" s="72"/>
      <c r="K7" s="22"/>
      <c r="L7" s="436"/>
      <c r="M7" s="436"/>
      <c r="N7" s="436"/>
      <c r="O7" s="436"/>
      <c r="P7" s="72">
        <f>SUM(P8,P13,P21,P23,P29)</f>
        <v>1082326199.8800001</v>
      </c>
      <c r="Q7" s="113" t="s">
        <v>9</v>
      </c>
      <c r="R7" s="220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32" ht="15.95" customHeight="1" thickTop="1" thickBot="1">
      <c r="A8" s="212"/>
      <c r="B8" s="64"/>
      <c r="C8" s="593" t="s">
        <v>31</v>
      </c>
      <c r="D8" s="607">
        <v>769775</v>
      </c>
      <c r="E8" s="569">
        <f>P8/1000</f>
        <v>769775.2</v>
      </c>
      <c r="F8" s="427">
        <v>351377</v>
      </c>
      <c r="G8" s="569">
        <f>E8-D8</f>
        <v>0.19999999995343387</v>
      </c>
      <c r="H8" s="574">
        <f t="shared" si="0"/>
        <v>2.5981617999211959E-5</v>
      </c>
      <c r="I8" s="62"/>
      <c r="J8" s="63"/>
      <c r="K8" s="153"/>
      <c r="L8" s="398"/>
      <c r="M8" s="398" t="s">
        <v>55</v>
      </c>
      <c r="N8" s="398"/>
      <c r="O8" s="398"/>
      <c r="P8" s="63">
        <f>SUM(P9:P12)</f>
        <v>769775200</v>
      </c>
      <c r="Q8" s="59" t="s">
        <v>9</v>
      </c>
      <c r="R8" s="26"/>
      <c r="S8" s="221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32" ht="15.95" customHeight="1">
      <c r="A9" s="212"/>
      <c r="B9" s="64"/>
      <c r="C9" s="594"/>
      <c r="D9" s="608"/>
      <c r="E9" s="570"/>
      <c r="F9" s="429"/>
      <c r="G9" s="570"/>
      <c r="H9" s="575"/>
      <c r="I9" s="66" t="s">
        <v>61</v>
      </c>
      <c r="J9" s="72">
        <v>37762000</v>
      </c>
      <c r="K9" s="22" t="s">
        <v>9</v>
      </c>
      <c r="L9" s="23" t="s">
        <v>16</v>
      </c>
      <c r="M9" s="436">
        <v>12</v>
      </c>
      <c r="N9" s="436" t="s">
        <v>13</v>
      </c>
      <c r="O9" s="24" t="s">
        <v>15</v>
      </c>
      <c r="P9" s="386">
        <f>J9*M9</f>
        <v>453144000</v>
      </c>
      <c r="Q9" s="12" t="s">
        <v>9</v>
      </c>
      <c r="R9" s="26"/>
      <c r="S9" s="222"/>
      <c r="T9" s="26"/>
      <c r="U9" s="26"/>
      <c r="V9" s="26"/>
      <c r="W9" s="26"/>
      <c r="X9" s="26"/>
      <c r="Y9" s="26"/>
      <c r="Z9" s="26"/>
      <c r="AA9" s="26"/>
      <c r="AB9" s="26"/>
      <c r="AC9" s="26"/>
    </row>
    <row r="10" spans="1:32" ht="15.95" customHeight="1">
      <c r="A10" s="212"/>
      <c r="B10" s="64"/>
      <c r="C10" s="594"/>
      <c r="D10" s="608"/>
      <c r="E10" s="570"/>
      <c r="F10" s="429"/>
      <c r="G10" s="570"/>
      <c r="H10" s="575"/>
      <c r="I10" s="66" t="s">
        <v>195</v>
      </c>
      <c r="J10" s="72">
        <v>32446000</v>
      </c>
      <c r="K10" s="22" t="s">
        <v>9</v>
      </c>
      <c r="L10" s="23" t="s">
        <v>16</v>
      </c>
      <c r="M10" s="436">
        <v>4.5</v>
      </c>
      <c r="N10" s="436" t="s">
        <v>23</v>
      </c>
      <c r="O10" s="24" t="s">
        <v>15</v>
      </c>
      <c r="P10" s="72">
        <f>J10*M10</f>
        <v>146007000</v>
      </c>
      <c r="Q10" s="12" t="s">
        <v>9</v>
      </c>
      <c r="R10" s="26"/>
      <c r="S10" s="222"/>
      <c r="T10" s="26"/>
      <c r="U10" s="26"/>
      <c r="V10" s="26"/>
      <c r="W10" s="26"/>
      <c r="X10" s="26"/>
      <c r="Y10" s="26"/>
      <c r="Z10" s="26"/>
      <c r="AA10" s="26"/>
      <c r="AB10" s="26"/>
      <c r="AC10" s="26"/>
    </row>
    <row r="11" spans="1:32" ht="15.95" customHeight="1">
      <c r="A11" s="212"/>
      <c r="B11" s="64"/>
      <c r="C11" s="594"/>
      <c r="D11" s="608"/>
      <c r="E11" s="570"/>
      <c r="F11" s="428"/>
      <c r="G11" s="570"/>
      <c r="H11" s="575"/>
      <c r="I11" s="66" t="s">
        <v>134</v>
      </c>
      <c r="J11" s="72">
        <v>32452100</v>
      </c>
      <c r="K11" s="22" t="s">
        <v>9</v>
      </c>
      <c r="L11" s="23" t="s">
        <v>16</v>
      </c>
      <c r="M11" s="436">
        <v>2</v>
      </c>
      <c r="N11" s="436" t="s">
        <v>23</v>
      </c>
      <c r="O11" s="24" t="s">
        <v>15</v>
      </c>
      <c r="P11" s="72">
        <f>J11*M11</f>
        <v>64904200</v>
      </c>
      <c r="Q11" s="12" t="s">
        <v>9</v>
      </c>
      <c r="R11" s="26"/>
      <c r="S11" s="222"/>
      <c r="T11" s="26"/>
      <c r="U11" s="26"/>
      <c r="V11" s="26"/>
      <c r="W11" s="26"/>
      <c r="X11" s="26"/>
      <c r="Y11" s="26"/>
      <c r="Z11" s="26"/>
      <c r="AA11" s="26"/>
      <c r="AB11" s="26"/>
      <c r="AC11" s="26"/>
    </row>
    <row r="12" spans="1:32" ht="15.95" customHeight="1">
      <c r="A12" s="212"/>
      <c r="B12" s="64"/>
      <c r="C12" s="595"/>
      <c r="D12" s="609"/>
      <c r="E12" s="577"/>
      <c r="F12" s="429"/>
      <c r="G12" s="577"/>
      <c r="H12" s="576"/>
      <c r="I12" s="371" t="s">
        <v>1</v>
      </c>
      <c r="J12" s="72">
        <v>8810000</v>
      </c>
      <c r="K12" s="22" t="s">
        <v>9</v>
      </c>
      <c r="L12" s="23" t="s">
        <v>16</v>
      </c>
      <c r="M12" s="436">
        <v>12</v>
      </c>
      <c r="N12" s="436" t="s">
        <v>13</v>
      </c>
      <c r="O12" s="24" t="s">
        <v>15</v>
      </c>
      <c r="P12" s="72">
        <f>J12*M12</f>
        <v>105720000</v>
      </c>
      <c r="Q12" s="12" t="s">
        <v>9</v>
      </c>
      <c r="R12" s="26"/>
      <c r="S12" s="222"/>
      <c r="T12" s="26"/>
      <c r="U12" s="26"/>
      <c r="V12" s="26"/>
      <c r="W12" s="26"/>
      <c r="X12" s="26"/>
      <c r="Y12" s="26"/>
      <c r="Z12" s="26"/>
      <c r="AA12" s="26"/>
      <c r="AB12" s="26"/>
      <c r="AC12" s="26"/>
    </row>
    <row r="13" spans="1:32" s="51" customFormat="1" ht="15.95" customHeight="1">
      <c r="A13" s="60"/>
      <c r="B13" s="64"/>
      <c r="C13" s="593" t="s">
        <v>53</v>
      </c>
      <c r="D13" s="539">
        <v>114586</v>
      </c>
      <c r="E13" s="541">
        <f>+P13/1000</f>
        <v>114585.99988</v>
      </c>
      <c r="F13" s="546">
        <v>102644</v>
      </c>
      <c r="G13" s="569">
        <f t="shared" ref="G13:G58" si="1">+E13-D13</f>
        <v>-1.1999999696854502E-4</v>
      </c>
      <c r="H13" s="571">
        <f t="shared" si="0"/>
        <v>-1.0472483284916572E-7</v>
      </c>
      <c r="I13" s="62"/>
      <c r="J13" s="63"/>
      <c r="K13" s="153"/>
      <c r="L13" s="398"/>
      <c r="M13" s="471" t="s">
        <v>55</v>
      </c>
      <c r="N13" s="471"/>
      <c r="O13" s="471"/>
      <c r="P13" s="63">
        <f>SUM(P14:P20)</f>
        <v>114585999.88000001</v>
      </c>
      <c r="Q13" s="59" t="s">
        <v>9</v>
      </c>
      <c r="AD13" s="26"/>
      <c r="AE13" s="186"/>
      <c r="AF13" s="186"/>
    </row>
    <row r="14" spans="1:32" s="51" customFormat="1" ht="15.95" customHeight="1">
      <c r="A14" s="60"/>
      <c r="B14" s="64"/>
      <c r="C14" s="594"/>
      <c r="D14" s="540"/>
      <c r="E14" s="542"/>
      <c r="F14" s="548"/>
      <c r="G14" s="570"/>
      <c r="H14" s="573"/>
      <c r="I14" s="66" t="s">
        <v>59</v>
      </c>
      <c r="J14" s="72">
        <v>3243833.33</v>
      </c>
      <c r="K14" s="22" t="s">
        <v>9</v>
      </c>
      <c r="L14" s="23" t="s">
        <v>16</v>
      </c>
      <c r="M14" s="436">
        <v>12</v>
      </c>
      <c r="N14" s="436" t="s">
        <v>13</v>
      </c>
      <c r="O14" s="24" t="s">
        <v>15</v>
      </c>
      <c r="P14" s="72">
        <f>(J14*M14)</f>
        <v>38925999.960000001</v>
      </c>
      <c r="Q14" s="12" t="s">
        <v>9</v>
      </c>
      <c r="AD14" s="26"/>
      <c r="AE14" s="186"/>
      <c r="AF14" s="186"/>
    </row>
    <row r="15" spans="1:32" s="51" customFormat="1" ht="15.95" customHeight="1">
      <c r="A15" s="60"/>
      <c r="B15" s="64"/>
      <c r="C15" s="594"/>
      <c r="D15" s="540"/>
      <c r="E15" s="542"/>
      <c r="F15" s="548"/>
      <c r="G15" s="570"/>
      <c r="H15" s="573"/>
      <c r="I15" s="66" t="s">
        <v>49</v>
      </c>
      <c r="J15" s="72">
        <v>860000</v>
      </c>
      <c r="K15" s="22" t="s">
        <v>9</v>
      </c>
      <c r="L15" s="23" t="s">
        <v>16</v>
      </c>
      <c r="M15" s="436">
        <v>12</v>
      </c>
      <c r="N15" s="436" t="s">
        <v>13</v>
      </c>
      <c r="O15" s="24" t="s">
        <v>15</v>
      </c>
      <c r="P15" s="72">
        <f t="shared" ref="P15:P20" si="2">(J15*M15)</f>
        <v>10320000</v>
      </c>
      <c r="Q15" s="12" t="s">
        <v>9</v>
      </c>
      <c r="AD15" s="26"/>
      <c r="AE15" s="186"/>
      <c r="AF15" s="186"/>
    </row>
    <row r="16" spans="1:32" s="51" customFormat="1" ht="15.95" customHeight="1">
      <c r="A16" s="60"/>
      <c r="B16" s="64"/>
      <c r="C16" s="594"/>
      <c r="D16" s="540"/>
      <c r="E16" s="542"/>
      <c r="F16" s="548"/>
      <c r="G16" s="570"/>
      <c r="H16" s="573"/>
      <c r="I16" s="66" t="s">
        <v>63</v>
      </c>
      <c r="J16" s="72">
        <v>1630000</v>
      </c>
      <c r="K16" s="22" t="s">
        <v>9</v>
      </c>
      <c r="L16" s="23" t="s">
        <v>16</v>
      </c>
      <c r="M16" s="436">
        <v>12</v>
      </c>
      <c r="N16" s="436" t="s">
        <v>13</v>
      </c>
      <c r="O16" s="24" t="s">
        <v>15</v>
      </c>
      <c r="P16" s="72">
        <f t="shared" si="2"/>
        <v>19560000</v>
      </c>
      <c r="Q16" s="12" t="s">
        <v>9</v>
      </c>
      <c r="AD16" s="26"/>
      <c r="AE16" s="186"/>
      <c r="AF16" s="186"/>
    </row>
    <row r="17" spans="1:32" s="51" customFormat="1" ht="15.95" customHeight="1">
      <c r="A17" s="60"/>
      <c r="B17" s="64"/>
      <c r="C17" s="594"/>
      <c r="D17" s="540"/>
      <c r="E17" s="542"/>
      <c r="F17" s="548"/>
      <c r="G17" s="570"/>
      <c r="H17" s="573"/>
      <c r="I17" s="66" t="s">
        <v>26</v>
      </c>
      <c r="J17" s="72">
        <v>1315000</v>
      </c>
      <c r="K17" s="22" t="s">
        <v>9</v>
      </c>
      <c r="L17" s="23" t="s">
        <v>16</v>
      </c>
      <c r="M17" s="436">
        <v>12</v>
      </c>
      <c r="N17" s="436" t="s">
        <v>13</v>
      </c>
      <c r="O17" s="24" t="s">
        <v>15</v>
      </c>
      <c r="P17" s="72">
        <f t="shared" si="2"/>
        <v>15780000</v>
      </c>
      <c r="Q17" s="12" t="s">
        <v>9</v>
      </c>
      <c r="AD17" s="26"/>
      <c r="AE17" s="186"/>
      <c r="AF17" s="186"/>
    </row>
    <row r="18" spans="1:32" s="51" customFormat="1" ht="15.95" customHeight="1">
      <c r="A18" s="60"/>
      <c r="B18" s="64"/>
      <c r="C18" s="594"/>
      <c r="D18" s="540"/>
      <c r="E18" s="542"/>
      <c r="F18" s="548"/>
      <c r="G18" s="570"/>
      <c r="H18" s="573"/>
      <c r="I18" s="66" t="s">
        <v>42</v>
      </c>
      <c r="J18" s="72">
        <v>1766666.66</v>
      </c>
      <c r="K18" s="22" t="s">
        <v>9</v>
      </c>
      <c r="L18" s="23" t="s">
        <v>16</v>
      </c>
      <c r="M18" s="436">
        <v>12</v>
      </c>
      <c r="N18" s="436" t="s">
        <v>13</v>
      </c>
      <c r="O18" s="24" t="s">
        <v>15</v>
      </c>
      <c r="P18" s="72">
        <f t="shared" si="2"/>
        <v>21199999.919999998</v>
      </c>
      <c r="Q18" s="12" t="s">
        <v>9</v>
      </c>
      <c r="AD18" s="26"/>
      <c r="AE18" s="186"/>
      <c r="AF18" s="186"/>
    </row>
    <row r="19" spans="1:32" s="51" customFormat="1" ht="15.95" customHeight="1">
      <c r="A19" s="60"/>
      <c r="B19" s="64"/>
      <c r="C19" s="594"/>
      <c r="D19" s="540"/>
      <c r="E19" s="542"/>
      <c r="F19" s="548"/>
      <c r="G19" s="570"/>
      <c r="H19" s="573"/>
      <c r="I19" s="66" t="s">
        <v>154</v>
      </c>
      <c r="J19" s="72">
        <v>150000</v>
      </c>
      <c r="K19" s="22" t="s">
        <v>9</v>
      </c>
      <c r="L19" s="23" t="s">
        <v>16</v>
      </c>
      <c r="M19" s="436">
        <v>12</v>
      </c>
      <c r="N19" s="436" t="s">
        <v>13</v>
      </c>
      <c r="O19" s="24" t="s">
        <v>15</v>
      </c>
      <c r="P19" s="72">
        <f t="shared" si="2"/>
        <v>1800000</v>
      </c>
      <c r="Q19" s="12" t="s">
        <v>9</v>
      </c>
      <c r="AD19" s="26"/>
      <c r="AE19" s="186"/>
      <c r="AF19" s="186"/>
    </row>
    <row r="20" spans="1:32" s="51" customFormat="1" ht="15.95" customHeight="1">
      <c r="A20" s="60"/>
      <c r="B20" s="64"/>
      <c r="C20" s="594"/>
      <c r="D20" s="540"/>
      <c r="E20" s="542"/>
      <c r="F20" s="429"/>
      <c r="G20" s="570"/>
      <c r="H20" s="573"/>
      <c r="I20" s="19" t="s">
        <v>270</v>
      </c>
      <c r="J20" s="72">
        <v>3500000</v>
      </c>
      <c r="K20" s="22" t="s">
        <v>9</v>
      </c>
      <c r="L20" s="23" t="s">
        <v>16</v>
      </c>
      <c r="M20" s="436">
        <v>2</v>
      </c>
      <c r="N20" s="436" t="s">
        <v>23</v>
      </c>
      <c r="O20" s="24" t="s">
        <v>15</v>
      </c>
      <c r="P20" s="72">
        <f t="shared" si="2"/>
        <v>7000000</v>
      </c>
      <c r="Q20" s="12" t="s">
        <v>9</v>
      </c>
      <c r="AD20" s="26"/>
      <c r="AE20" s="186"/>
      <c r="AF20" s="186"/>
    </row>
    <row r="21" spans="1:32" s="51" customFormat="1" ht="15.95" customHeight="1">
      <c r="A21" s="60"/>
      <c r="B21" s="64"/>
      <c r="C21" s="593" t="s">
        <v>164</v>
      </c>
      <c r="D21" s="539">
        <v>78415</v>
      </c>
      <c r="E21" s="541">
        <f>(+P21/1000)</f>
        <v>78415</v>
      </c>
      <c r="F21" s="546">
        <v>48032</v>
      </c>
      <c r="G21" s="569">
        <f>E21-D21</f>
        <v>0</v>
      </c>
      <c r="H21" s="571">
        <f t="shared" si="0"/>
        <v>0</v>
      </c>
      <c r="I21" s="444"/>
      <c r="J21" s="63"/>
      <c r="K21" s="153"/>
      <c r="L21" s="153"/>
      <c r="M21" s="471" t="s">
        <v>55</v>
      </c>
      <c r="N21" s="471"/>
      <c r="O21" s="471"/>
      <c r="P21" s="63">
        <f>SUM(P22:P22)</f>
        <v>78415000</v>
      </c>
      <c r="Q21" s="59" t="s">
        <v>9</v>
      </c>
      <c r="AD21" s="26"/>
      <c r="AE21" s="186"/>
      <c r="AF21" s="186"/>
    </row>
    <row r="22" spans="1:32" s="51" customFormat="1" ht="15.95" customHeight="1">
      <c r="A22" s="60"/>
      <c r="B22" s="64"/>
      <c r="C22" s="595"/>
      <c r="D22" s="579"/>
      <c r="E22" s="580"/>
      <c r="F22" s="547"/>
      <c r="G22" s="577">
        <f t="shared" si="1"/>
        <v>0</v>
      </c>
      <c r="H22" s="572" t="e">
        <f t="shared" si="0"/>
        <v>#DIV/0!</v>
      </c>
      <c r="I22" s="66" t="s">
        <v>164</v>
      </c>
      <c r="J22" s="72">
        <f>SUM(P8,P13,P32)-P12-P18</f>
        <v>767941199.96000004</v>
      </c>
      <c r="K22" s="387" t="s">
        <v>9</v>
      </c>
      <c r="L22" s="436" t="s">
        <v>48</v>
      </c>
      <c r="M22" s="436">
        <v>12</v>
      </c>
      <c r="N22" s="436"/>
      <c r="O22" s="24" t="s">
        <v>15</v>
      </c>
      <c r="P22" s="72">
        <f>ROUND(J22/12,-1)+11542400+2877430+70</f>
        <v>78415000</v>
      </c>
      <c r="Q22" s="12" t="s">
        <v>9</v>
      </c>
      <c r="AD22" s="26"/>
      <c r="AE22" s="186"/>
      <c r="AF22" s="186"/>
    </row>
    <row r="23" spans="1:32" s="51" customFormat="1" ht="15.95" customHeight="1">
      <c r="A23" s="60"/>
      <c r="B23" s="64"/>
      <c r="C23" s="660" t="s">
        <v>323</v>
      </c>
      <c r="D23" s="591">
        <v>91497</v>
      </c>
      <c r="E23" s="586">
        <f>+P23/1000</f>
        <v>91060</v>
      </c>
      <c r="F23" s="582">
        <v>55737</v>
      </c>
      <c r="G23" s="590">
        <f t="shared" si="1"/>
        <v>-437</v>
      </c>
      <c r="H23" s="589">
        <f t="shared" si="0"/>
        <v>-0.47761128780178586</v>
      </c>
      <c r="I23" s="444"/>
      <c r="J23" s="63"/>
      <c r="K23" s="153"/>
      <c r="L23" s="398"/>
      <c r="M23" s="471" t="s">
        <v>55</v>
      </c>
      <c r="N23" s="471"/>
      <c r="O23" s="471"/>
      <c r="P23" s="63">
        <f>SUM(P24:P28)</f>
        <v>91060000</v>
      </c>
      <c r="Q23" s="59" t="s">
        <v>9</v>
      </c>
      <c r="AD23" s="26"/>
      <c r="AE23" s="186"/>
      <c r="AF23" s="186"/>
    </row>
    <row r="24" spans="1:32" s="51" customFormat="1" ht="15.95" customHeight="1">
      <c r="A24" s="60"/>
      <c r="B24" s="64"/>
      <c r="C24" s="660"/>
      <c r="D24" s="591"/>
      <c r="E24" s="586"/>
      <c r="F24" s="582"/>
      <c r="G24" s="590">
        <f t="shared" si="1"/>
        <v>0</v>
      </c>
      <c r="H24" s="589" t="e">
        <f t="shared" si="0"/>
        <v>#DIV/0!</v>
      </c>
      <c r="I24" s="19" t="s">
        <v>119</v>
      </c>
      <c r="J24" s="72">
        <f>SUM(P8,P13,P32)-P18</f>
        <v>873661199.96000004</v>
      </c>
      <c r="K24" s="22" t="s">
        <v>9</v>
      </c>
      <c r="L24" s="23" t="s">
        <v>16</v>
      </c>
      <c r="M24" s="587">
        <v>4.4999999999999998E-2</v>
      </c>
      <c r="N24" s="587"/>
      <c r="O24" s="24" t="s">
        <v>15</v>
      </c>
      <c r="P24" s="72">
        <f>ROUNDUP(SUM(J24*M24),-3)</f>
        <v>39315000</v>
      </c>
      <c r="Q24" s="12" t="s">
        <v>9</v>
      </c>
      <c r="AD24" s="52"/>
      <c r="AE24" s="186"/>
      <c r="AF24" s="186"/>
    </row>
    <row r="25" spans="1:32" s="51" customFormat="1" ht="15.95" customHeight="1">
      <c r="A25" s="60"/>
      <c r="B25" s="64"/>
      <c r="C25" s="660"/>
      <c r="D25" s="591"/>
      <c r="E25" s="586"/>
      <c r="F25" s="582"/>
      <c r="G25" s="590">
        <f t="shared" si="1"/>
        <v>0</v>
      </c>
      <c r="H25" s="589" t="e">
        <f t="shared" si="0"/>
        <v>#DIV/0!</v>
      </c>
      <c r="I25" s="19" t="s">
        <v>179</v>
      </c>
      <c r="J25" s="72">
        <f>+J24</f>
        <v>873661199.96000004</v>
      </c>
      <c r="K25" s="22" t="s">
        <v>9</v>
      </c>
      <c r="L25" s="23" t="s">
        <v>16</v>
      </c>
      <c r="M25" s="588">
        <v>3.4299999999999997E-2</v>
      </c>
      <c r="N25" s="588"/>
      <c r="O25" s="436" t="s">
        <v>15</v>
      </c>
      <c r="P25" s="72">
        <f>ROUNDUP(SUM(J25*M25),-3)</f>
        <v>29967000</v>
      </c>
      <c r="Q25" s="12" t="s">
        <v>9</v>
      </c>
      <c r="AD25" s="52" t="s">
        <v>65</v>
      </c>
      <c r="AE25" s="186"/>
      <c r="AF25" s="186"/>
    </row>
    <row r="26" spans="1:32" s="51" customFormat="1" ht="15.95" customHeight="1">
      <c r="A26" s="60"/>
      <c r="B26" s="64"/>
      <c r="C26" s="660"/>
      <c r="D26" s="591"/>
      <c r="E26" s="586"/>
      <c r="F26" s="582"/>
      <c r="G26" s="590">
        <f t="shared" si="1"/>
        <v>0</v>
      </c>
      <c r="H26" s="589" t="e">
        <f t="shared" si="0"/>
        <v>#DIV/0!</v>
      </c>
      <c r="I26" s="19" t="s">
        <v>172</v>
      </c>
      <c r="J26" s="72">
        <f>+P25</f>
        <v>29967000</v>
      </c>
      <c r="K26" s="22" t="s">
        <v>9</v>
      </c>
      <c r="L26" s="23" t="s">
        <v>16</v>
      </c>
      <c r="M26" s="588">
        <v>0.1152</v>
      </c>
      <c r="N26" s="588"/>
      <c r="O26" s="436" t="s">
        <v>15</v>
      </c>
      <c r="P26" s="72">
        <f>ROUNDUP(SUM(J26*M26),-3)</f>
        <v>3453000</v>
      </c>
      <c r="Q26" s="12" t="s">
        <v>9</v>
      </c>
      <c r="AD26" s="52"/>
      <c r="AE26" s="186"/>
      <c r="AF26" s="186"/>
    </row>
    <row r="27" spans="1:32" s="51" customFormat="1" ht="15.95" customHeight="1">
      <c r="A27" s="60"/>
      <c r="B27" s="64"/>
      <c r="C27" s="660"/>
      <c r="D27" s="591"/>
      <c r="E27" s="586"/>
      <c r="F27" s="582"/>
      <c r="G27" s="590">
        <f t="shared" si="1"/>
        <v>0</v>
      </c>
      <c r="H27" s="589" t="e">
        <f t="shared" si="0"/>
        <v>#DIV/0!</v>
      </c>
      <c r="I27" s="19" t="s">
        <v>145</v>
      </c>
      <c r="J27" s="72">
        <f>SUM(P8,P13,P32)-P12-P18</f>
        <v>767941199.96000004</v>
      </c>
      <c r="K27" s="22" t="s">
        <v>9</v>
      </c>
      <c r="L27" s="23" t="s">
        <v>16</v>
      </c>
      <c r="M27" s="588">
        <v>1.6500000000000001E-2</v>
      </c>
      <c r="N27" s="588"/>
      <c r="O27" s="436" t="s">
        <v>15</v>
      </c>
      <c r="P27" s="72">
        <f>ROUNDUP(SUM(J27*M27),-3)</f>
        <v>12672000</v>
      </c>
      <c r="Q27" s="12" t="s">
        <v>9</v>
      </c>
      <c r="AD27" s="52"/>
      <c r="AE27" s="186"/>
      <c r="AF27" s="186"/>
    </row>
    <row r="28" spans="1:32" s="51" customFormat="1" ht="15.95" customHeight="1">
      <c r="A28" s="60"/>
      <c r="B28" s="64"/>
      <c r="C28" s="660"/>
      <c r="D28" s="591"/>
      <c r="E28" s="586"/>
      <c r="F28" s="582"/>
      <c r="G28" s="590">
        <f t="shared" si="1"/>
        <v>0</v>
      </c>
      <c r="H28" s="589" t="e">
        <f t="shared" si="0"/>
        <v>#DIV/0!</v>
      </c>
      <c r="I28" s="20" t="s">
        <v>116</v>
      </c>
      <c r="J28" s="69">
        <f>J27</f>
        <v>767941199.96000004</v>
      </c>
      <c r="K28" s="14" t="s">
        <v>9</v>
      </c>
      <c r="L28" s="15" t="s">
        <v>16</v>
      </c>
      <c r="M28" s="672">
        <v>7.3600000000000002E-3</v>
      </c>
      <c r="N28" s="672"/>
      <c r="O28" s="16" t="s">
        <v>15</v>
      </c>
      <c r="P28" s="72">
        <f>ROUNDUP(SUM(J28*M28),-3)</f>
        <v>5653000</v>
      </c>
      <c r="Q28" s="18" t="s">
        <v>9</v>
      </c>
      <c r="AD28" s="52"/>
      <c r="AE28" s="186"/>
      <c r="AF28" s="186"/>
    </row>
    <row r="29" spans="1:32" s="51" customFormat="1" ht="15.95" customHeight="1">
      <c r="A29" s="60" t="s">
        <v>41</v>
      </c>
      <c r="B29" s="64"/>
      <c r="C29" s="593" t="s">
        <v>211</v>
      </c>
      <c r="D29" s="539">
        <v>28490</v>
      </c>
      <c r="E29" s="541">
        <f>+P29/1000</f>
        <v>28490</v>
      </c>
      <c r="F29" s="582">
        <v>24295</v>
      </c>
      <c r="G29" s="569">
        <f>+E29-D29</f>
        <v>0</v>
      </c>
      <c r="H29" s="571">
        <f t="shared" si="0"/>
        <v>0</v>
      </c>
      <c r="I29" s="444"/>
      <c r="J29" s="63"/>
      <c r="K29" s="153"/>
      <c r="L29" s="398"/>
      <c r="M29" s="398" t="s">
        <v>55</v>
      </c>
      <c r="N29" s="398"/>
      <c r="O29" s="398"/>
      <c r="P29" s="63">
        <f>SUM(P30:P34)</f>
        <v>28490000</v>
      </c>
      <c r="Q29" s="59" t="s">
        <v>9</v>
      </c>
      <c r="AD29" s="52"/>
      <c r="AE29" s="186"/>
      <c r="AF29" s="186"/>
    </row>
    <row r="30" spans="1:32" s="51" customFormat="1" ht="15.95" customHeight="1">
      <c r="A30" s="60"/>
      <c r="B30" s="64"/>
      <c r="C30" s="594"/>
      <c r="D30" s="540"/>
      <c r="E30" s="542"/>
      <c r="F30" s="582"/>
      <c r="G30" s="570"/>
      <c r="H30" s="573"/>
      <c r="I30" s="19" t="s">
        <v>176</v>
      </c>
      <c r="J30" s="72">
        <v>7390000</v>
      </c>
      <c r="K30" s="22" t="s">
        <v>9</v>
      </c>
      <c r="L30" s="23" t="s">
        <v>16</v>
      </c>
      <c r="M30" s="436">
        <v>1</v>
      </c>
      <c r="N30" s="436" t="s">
        <v>457</v>
      </c>
      <c r="O30" s="24" t="s">
        <v>15</v>
      </c>
      <c r="P30" s="72">
        <v>7390000</v>
      </c>
      <c r="Q30" s="12" t="s">
        <v>9</v>
      </c>
      <c r="AD30" s="52"/>
      <c r="AE30" s="186"/>
      <c r="AF30" s="186"/>
    </row>
    <row r="31" spans="1:32" s="51" customFormat="1" ht="15.95" customHeight="1">
      <c r="A31" s="60"/>
      <c r="B31" s="64"/>
      <c r="C31" s="594"/>
      <c r="D31" s="540"/>
      <c r="E31" s="542"/>
      <c r="F31" s="582"/>
      <c r="G31" s="570"/>
      <c r="H31" s="573"/>
      <c r="I31" s="19" t="s">
        <v>239</v>
      </c>
      <c r="J31" s="72">
        <v>50000</v>
      </c>
      <c r="K31" s="22" t="s">
        <v>9</v>
      </c>
      <c r="L31" s="23" t="s">
        <v>16</v>
      </c>
      <c r="M31" s="436">
        <v>4</v>
      </c>
      <c r="N31" s="436" t="s">
        <v>23</v>
      </c>
      <c r="O31" s="24" t="s">
        <v>15</v>
      </c>
      <c r="P31" s="72">
        <f>+J31*M31</f>
        <v>200000</v>
      </c>
      <c r="Q31" s="12" t="s">
        <v>9</v>
      </c>
      <c r="AD31" s="52"/>
      <c r="AE31" s="186"/>
      <c r="AF31" s="186"/>
    </row>
    <row r="32" spans="1:32" s="51" customFormat="1" ht="15.95" customHeight="1">
      <c r="A32" s="60"/>
      <c r="B32" s="64"/>
      <c r="C32" s="594"/>
      <c r="D32" s="540"/>
      <c r="E32" s="542"/>
      <c r="F32" s="582"/>
      <c r="G32" s="570"/>
      <c r="H32" s="573"/>
      <c r="I32" s="19" t="s">
        <v>397</v>
      </c>
      <c r="J32" s="72">
        <v>3500000</v>
      </c>
      <c r="K32" s="22" t="s">
        <v>9</v>
      </c>
      <c r="L32" s="23" t="s">
        <v>16</v>
      </c>
      <c r="M32" s="436">
        <v>3</v>
      </c>
      <c r="N32" s="436" t="s">
        <v>23</v>
      </c>
      <c r="O32" s="24" t="s">
        <v>15</v>
      </c>
      <c r="P32" s="72">
        <f>+J32*M32</f>
        <v>10500000</v>
      </c>
      <c r="Q32" s="12" t="s">
        <v>9</v>
      </c>
      <c r="AD32" s="52"/>
      <c r="AE32" s="186"/>
      <c r="AF32" s="186"/>
    </row>
    <row r="33" spans="1:32" s="51" customFormat="1" ht="15.95" customHeight="1" thickBot="1">
      <c r="A33" s="60"/>
      <c r="B33" s="64"/>
      <c r="C33" s="594"/>
      <c r="D33" s="540"/>
      <c r="E33" s="542"/>
      <c r="F33" s="583"/>
      <c r="G33" s="570"/>
      <c r="H33" s="573"/>
      <c r="I33" s="250" t="s">
        <v>440</v>
      </c>
      <c r="J33" s="72">
        <v>4750000</v>
      </c>
      <c r="K33" s="22" t="s">
        <v>9</v>
      </c>
      <c r="L33" s="23" t="s">
        <v>16</v>
      </c>
      <c r="M33" s="436">
        <v>2</v>
      </c>
      <c r="N33" s="436" t="s">
        <v>23</v>
      </c>
      <c r="O33" s="24" t="s">
        <v>15</v>
      </c>
      <c r="P33" s="72">
        <f>+J33*M33</f>
        <v>9500000</v>
      </c>
      <c r="Q33" s="12" t="s">
        <v>9</v>
      </c>
      <c r="AD33" s="52"/>
      <c r="AE33" s="186"/>
      <c r="AF33" s="186"/>
    </row>
    <row r="34" spans="1:32" s="51" customFormat="1" ht="15.95" customHeight="1">
      <c r="A34" s="60"/>
      <c r="B34" s="93"/>
      <c r="C34" s="595"/>
      <c r="D34" s="579"/>
      <c r="E34" s="580"/>
      <c r="F34" s="428"/>
      <c r="G34" s="577"/>
      <c r="H34" s="572"/>
      <c r="I34" s="20" t="s">
        <v>181</v>
      </c>
      <c r="J34" s="69">
        <v>300000</v>
      </c>
      <c r="K34" s="14" t="s">
        <v>9</v>
      </c>
      <c r="L34" s="15" t="s">
        <v>16</v>
      </c>
      <c r="M34" s="16">
        <v>3</v>
      </c>
      <c r="N34" s="16" t="s">
        <v>23</v>
      </c>
      <c r="O34" s="17" t="s">
        <v>15</v>
      </c>
      <c r="P34" s="69">
        <f>+J34*M34</f>
        <v>900000</v>
      </c>
      <c r="Q34" s="18" t="s">
        <v>9</v>
      </c>
      <c r="AD34" s="52"/>
      <c r="AE34" s="186"/>
      <c r="AF34" s="186"/>
    </row>
    <row r="35" spans="1:32" s="51" customFormat="1" ht="20.100000000000001" customHeight="1">
      <c r="A35" s="41" t="s">
        <v>29</v>
      </c>
      <c r="B35" s="223" t="s">
        <v>11</v>
      </c>
      <c r="C35" s="213" t="s">
        <v>39</v>
      </c>
      <c r="D35" s="214">
        <f>SUM(D36,D40,D43)</f>
        <v>13800</v>
      </c>
      <c r="E35" s="215">
        <f>SUM(E36:E48)</f>
        <v>13800</v>
      </c>
      <c r="F35" s="216">
        <f>SUM(F36,F43)</f>
        <v>12549</v>
      </c>
      <c r="G35" s="217">
        <f t="shared" si="1"/>
        <v>0</v>
      </c>
      <c r="H35" s="218">
        <f t="shared" si="0"/>
        <v>0</v>
      </c>
      <c r="I35" s="224"/>
      <c r="J35" s="72"/>
      <c r="K35" s="22"/>
      <c r="L35" s="436"/>
      <c r="M35" s="436"/>
      <c r="N35" s="436"/>
      <c r="O35" s="436"/>
      <c r="P35" s="72">
        <f>SUM(P36,P40,P43)</f>
        <v>13800000</v>
      </c>
      <c r="Q35" s="12" t="s">
        <v>9</v>
      </c>
      <c r="AD35" s="52"/>
      <c r="AE35" s="186"/>
      <c r="AF35" s="186"/>
    </row>
    <row r="36" spans="1:32" s="51" customFormat="1" ht="15.95" customHeight="1">
      <c r="A36" s="60"/>
      <c r="B36" s="399" t="s">
        <v>50</v>
      </c>
      <c r="C36" s="593" t="s">
        <v>110</v>
      </c>
      <c r="D36" s="539">
        <v>2300</v>
      </c>
      <c r="E36" s="541">
        <f>+P36/1000</f>
        <v>2300</v>
      </c>
      <c r="F36" s="546">
        <v>9823</v>
      </c>
      <c r="G36" s="569">
        <f t="shared" si="1"/>
        <v>0</v>
      </c>
      <c r="H36" s="574">
        <f t="shared" si="0"/>
        <v>0</v>
      </c>
      <c r="I36" s="445"/>
      <c r="J36" s="63"/>
      <c r="K36" s="153"/>
      <c r="L36" s="398"/>
      <c r="M36" s="471" t="s">
        <v>55</v>
      </c>
      <c r="N36" s="471"/>
      <c r="O36" s="471"/>
      <c r="P36" s="63">
        <f>SUM(P37:P39)</f>
        <v>2300000</v>
      </c>
      <c r="Q36" s="59" t="s">
        <v>9</v>
      </c>
      <c r="AD36" s="52"/>
      <c r="AE36" s="186"/>
      <c r="AF36" s="186"/>
    </row>
    <row r="37" spans="1:32" s="51" customFormat="1" ht="15.95" customHeight="1">
      <c r="A37" s="60"/>
      <c r="B37" s="64"/>
      <c r="C37" s="594"/>
      <c r="D37" s="540"/>
      <c r="E37" s="542"/>
      <c r="F37" s="548"/>
      <c r="G37" s="570"/>
      <c r="H37" s="575"/>
      <c r="I37" s="115" t="s">
        <v>69</v>
      </c>
      <c r="J37" s="72">
        <v>100000</v>
      </c>
      <c r="K37" s="22" t="s">
        <v>9</v>
      </c>
      <c r="L37" s="23" t="s">
        <v>16</v>
      </c>
      <c r="M37" s="436">
        <v>12</v>
      </c>
      <c r="N37" s="436" t="s">
        <v>13</v>
      </c>
      <c r="O37" s="24" t="s">
        <v>15</v>
      </c>
      <c r="P37" s="72">
        <f>SUM(J37*M37)</f>
        <v>1200000</v>
      </c>
      <c r="Q37" s="12" t="s">
        <v>9</v>
      </c>
      <c r="AD37" s="52"/>
      <c r="AE37" s="186"/>
      <c r="AF37" s="186"/>
    </row>
    <row r="38" spans="1:32" s="51" customFormat="1" ht="15.95" customHeight="1">
      <c r="A38" s="60"/>
      <c r="B38" s="64"/>
      <c r="C38" s="594"/>
      <c r="D38" s="540"/>
      <c r="E38" s="542"/>
      <c r="F38" s="547"/>
      <c r="G38" s="570"/>
      <c r="H38" s="575"/>
      <c r="I38" s="19" t="s">
        <v>101</v>
      </c>
      <c r="J38" s="72">
        <v>20000</v>
      </c>
      <c r="K38" s="22" t="s">
        <v>9</v>
      </c>
      <c r="L38" s="23" t="s">
        <v>16</v>
      </c>
      <c r="M38" s="436">
        <v>5</v>
      </c>
      <c r="N38" s="436" t="s">
        <v>23</v>
      </c>
      <c r="O38" s="24" t="s">
        <v>15</v>
      </c>
      <c r="P38" s="72">
        <f>SUM(J38*M38)</f>
        <v>100000</v>
      </c>
      <c r="Q38" s="12" t="s">
        <v>9</v>
      </c>
      <c r="AD38" s="52"/>
      <c r="AE38" s="186"/>
      <c r="AF38" s="186"/>
    </row>
    <row r="39" spans="1:32" s="51" customFormat="1" ht="15.95" customHeight="1">
      <c r="A39" s="367"/>
      <c r="B39" s="64"/>
      <c r="C39" s="595"/>
      <c r="D39" s="579"/>
      <c r="E39" s="580"/>
      <c r="F39" s="429"/>
      <c r="G39" s="577"/>
      <c r="H39" s="576"/>
      <c r="I39" s="20" t="s">
        <v>441</v>
      </c>
      <c r="J39" s="72">
        <v>100000</v>
      </c>
      <c r="K39" s="22" t="s">
        <v>9</v>
      </c>
      <c r="L39" s="23" t="s">
        <v>16</v>
      </c>
      <c r="M39" s="436">
        <v>10</v>
      </c>
      <c r="N39" s="436" t="s">
        <v>23</v>
      </c>
      <c r="O39" s="24" t="s">
        <v>15</v>
      </c>
      <c r="P39" s="72">
        <f>SUM(J39*M39)</f>
        <v>1000000</v>
      </c>
      <c r="Q39" s="12" t="s">
        <v>9</v>
      </c>
      <c r="AD39" s="52"/>
      <c r="AE39" s="186"/>
      <c r="AF39" s="186"/>
    </row>
    <row r="40" spans="1:32" s="51" customFormat="1" ht="15.95" customHeight="1">
      <c r="A40" s="226"/>
      <c r="B40" s="399"/>
      <c r="C40" s="593" t="s">
        <v>184</v>
      </c>
      <c r="D40" s="539">
        <v>1300</v>
      </c>
      <c r="E40" s="541">
        <f>P40/1000</f>
        <v>1300</v>
      </c>
      <c r="F40" s="427"/>
      <c r="G40" s="569">
        <f>E40-D40</f>
        <v>0</v>
      </c>
      <c r="H40" s="571">
        <f>G40/D40*100</f>
        <v>0</v>
      </c>
      <c r="I40" s="227"/>
      <c r="J40" s="63"/>
      <c r="K40" s="153"/>
      <c r="L40" s="398"/>
      <c r="M40" s="471" t="s">
        <v>55</v>
      </c>
      <c r="N40" s="471"/>
      <c r="O40" s="471"/>
      <c r="P40" s="63">
        <f>SUM(P41:P42)</f>
        <v>1300000</v>
      </c>
      <c r="Q40" s="59" t="s">
        <v>9</v>
      </c>
      <c r="AD40" s="52"/>
      <c r="AE40" s="186"/>
      <c r="AF40" s="186"/>
    </row>
    <row r="41" spans="1:32" s="51" customFormat="1" ht="15.95" customHeight="1">
      <c r="A41" s="60"/>
      <c r="B41" s="399"/>
      <c r="C41" s="594"/>
      <c r="D41" s="540"/>
      <c r="E41" s="542"/>
      <c r="F41" s="429"/>
      <c r="G41" s="570"/>
      <c r="H41" s="573"/>
      <c r="I41" s="115" t="s">
        <v>279</v>
      </c>
      <c r="J41" s="72">
        <v>250000</v>
      </c>
      <c r="K41" s="22" t="s">
        <v>9</v>
      </c>
      <c r="L41" s="23" t="s">
        <v>16</v>
      </c>
      <c r="M41" s="436">
        <v>2</v>
      </c>
      <c r="N41" s="436" t="s">
        <v>23</v>
      </c>
      <c r="O41" s="24" t="s">
        <v>15</v>
      </c>
      <c r="P41" s="72">
        <f>SUM(J41*M41)</f>
        <v>500000</v>
      </c>
      <c r="Q41" s="12" t="s">
        <v>9</v>
      </c>
      <c r="AD41" s="52"/>
      <c r="AE41" s="186"/>
      <c r="AF41" s="186"/>
    </row>
    <row r="42" spans="1:32" s="51" customFormat="1" ht="15.95" customHeight="1">
      <c r="A42" s="60"/>
      <c r="B42" s="64"/>
      <c r="C42" s="595"/>
      <c r="D42" s="579"/>
      <c r="E42" s="580"/>
      <c r="F42" s="429"/>
      <c r="G42" s="577"/>
      <c r="H42" s="572"/>
      <c r="I42" s="115" t="s">
        <v>351</v>
      </c>
      <c r="J42" s="72">
        <v>200000</v>
      </c>
      <c r="K42" s="22" t="s">
        <v>9</v>
      </c>
      <c r="L42" s="23" t="s">
        <v>16</v>
      </c>
      <c r="M42" s="436">
        <v>4</v>
      </c>
      <c r="N42" s="436" t="s">
        <v>23</v>
      </c>
      <c r="O42" s="24" t="s">
        <v>15</v>
      </c>
      <c r="P42" s="72">
        <f>SUM(J42*M42)</f>
        <v>800000</v>
      </c>
      <c r="Q42" s="12" t="s">
        <v>9</v>
      </c>
      <c r="AD42" s="52"/>
      <c r="AE42" s="186"/>
      <c r="AF42" s="186"/>
    </row>
    <row r="43" spans="1:32" s="51" customFormat="1" ht="15.95" customHeight="1">
      <c r="A43" s="60"/>
      <c r="B43" s="64"/>
      <c r="C43" s="596" t="s">
        <v>8</v>
      </c>
      <c r="D43" s="539">
        <v>10200</v>
      </c>
      <c r="E43" s="541">
        <f>+P43/1000</f>
        <v>10200</v>
      </c>
      <c r="F43" s="546">
        <v>2726</v>
      </c>
      <c r="G43" s="569">
        <f t="shared" si="1"/>
        <v>0</v>
      </c>
      <c r="H43" s="571">
        <f>+G43/D43*100</f>
        <v>0</v>
      </c>
      <c r="I43" s="445"/>
      <c r="J43" s="63"/>
      <c r="K43" s="153"/>
      <c r="L43" s="398"/>
      <c r="M43" s="471" t="s">
        <v>55</v>
      </c>
      <c r="N43" s="471"/>
      <c r="O43" s="471"/>
      <c r="P43" s="63">
        <f>SUM(P44:P48)</f>
        <v>10200000</v>
      </c>
      <c r="Q43" s="59" t="s">
        <v>9</v>
      </c>
      <c r="AD43" s="52"/>
      <c r="AE43" s="186"/>
      <c r="AF43" s="186"/>
    </row>
    <row r="44" spans="1:32" s="51" customFormat="1" ht="15.95" customHeight="1">
      <c r="A44" s="60"/>
      <c r="B44" s="64"/>
      <c r="C44" s="592"/>
      <c r="D44" s="540"/>
      <c r="E44" s="542"/>
      <c r="F44" s="548"/>
      <c r="G44" s="570">
        <f t="shared" si="1"/>
        <v>0</v>
      </c>
      <c r="H44" s="573" t="e">
        <f>+G44/D44*100</f>
        <v>#DIV/0!</v>
      </c>
      <c r="I44" s="115" t="s">
        <v>298</v>
      </c>
      <c r="J44" s="72">
        <v>300000</v>
      </c>
      <c r="K44" s="22" t="s">
        <v>9</v>
      </c>
      <c r="L44" s="23" t="s">
        <v>16</v>
      </c>
      <c r="M44" s="436">
        <v>2</v>
      </c>
      <c r="N44" s="436" t="s">
        <v>23</v>
      </c>
      <c r="O44" s="24" t="s">
        <v>15</v>
      </c>
      <c r="P44" s="72">
        <f>SUM(J44*M44)</f>
        <v>600000</v>
      </c>
      <c r="Q44" s="12" t="s">
        <v>9</v>
      </c>
      <c r="AD44" s="52"/>
      <c r="AE44" s="186"/>
      <c r="AF44" s="186"/>
    </row>
    <row r="45" spans="1:32" s="51" customFormat="1" ht="15.95" customHeight="1">
      <c r="A45" s="60"/>
      <c r="B45" s="64"/>
      <c r="C45" s="592"/>
      <c r="D45" s="540"/>
      <c r="E45" s="542"/>
      <c r="F45" s="548"/>
      <c r="G45" s="570"/>
      <c r="H45" s="573"/>
      <c r="I45" s="115" t="s">
        <v>76</v>
      </c>
      <c r="J45" s="72">
        <v>1750000</v>
      </c>
      <c r="K45" s="22" t="s">
        <v>9</v>
      </c>
      <c r="L45" s="23" t="s">
        <v>16</v>
      </c>
      <c r="M45" s="436">
        <v>4</v>
      </c>
      <c r="N45" s="436" t="s">
        <v>23</v>
      </c>
      <c r="O45" s="24" t="s">
        <v>15</v>
      </c>
      <c r="P45" s="72">
        <f>SUM(J45*M45)</f>
        <v>7000000</v>
      </c>
      <c r="Q45" s="12" t="s">
        <v>9</v>
      </c>
      <c r="AD45" s="52"/>
      <c r="AE45" s="186"/>
      <c r="AF45" s="186"/>
    </row>
    <row r="46" spans="1:32" s="51" customFormat="1" ht="15.95" customHeight="1">
      <c r="A46" s="60"/>
      <c r="B46" s="64"/>
      <c r="C46" s="592"/>
      <c r="D46" s="540"/>
      <c r="E46" s="542"/>
      <c r="F46" s="548"/>
      <c r="G46" s="570">
        <f t="shared" si="1"/>
        <v>0</v>
      </c>
      <c r="H46" s="573" t="e">
        <f t="shared" ref="H46:H56" si="3">+G46/D46*100</f>
        <v>#DIV/0!</v>
      </c>
      <c r="I46" s="115" t="s">
        <v>310</v>
      </c>
      <c r="J46" s="72">
        <v>500000</v>
      </c>
      <c r="K46" s="22" t="s">
        <v>9</v>
      </c>
      <c r="L46" s="23" t="s">
        <v>16</v>
      </c>
      <c r="M46" s="436">
        <v>4</v>
      </c>
      <c r="N46" s="436" t="s">
        <v>23</v>
      </c>
      <c r="O46" s="24" t="s">
        <v>15</v>
      </c>
      <c r="P46" s="72">
        <f>SUM(J46*M46)</f>
        <v>2000000</v>
      </c>
      <c r="Q46" s="12" t="s">
        <v>9</v>
      </c>
      <c r="AD46" s="52"/>
      <c r="AE46" s="186"/>
      <c r="AF46" s="186"/>
    </row>
    <row r="47" spans="1:32" s="51" customFormat="1" ht="15.95" customHeight="1">
      <c r="A47" s="60"/>
      <c r="B47" s="64"/>
      <c r="C47" s="592"/>
      <c r="D47" s="540"/>
      <c r="E47" s="542"/>
      <c r="F47" s="548"/>
      <c r="G47" s="570"/>
      <c r="H47" s="573"/>
      <c r="I47" s="115" t="s">
        <v>344</v>
      </c>
      <c r="J47" s="72">
        <v>100000</v>
      </c>
      <c r="K47" s="22" t="s">
        <v>9</v>
      </c>
      <c r="L47" s="23" t="s">
        <v>16</v>
      </c>
      <c r="M47" s="436">
        <v>2</v>
      </c>
      <c r="N47" s="436" t="s">
        <v>23</v>
      </c>
      <c r="O47" s="24" t="s">
        <v>15</v>
      </c>
      <c r="P47" s="72">
        <f>SUM(J47*M47)</f>
        <v>200000</v>
      </c>
      <c r="Q47" s="12" t="s">
        <v>9</v>
      </c>
      <c r="AD47" s="52"/>
      <c r="AE47" s="186"/>
      <c r="AF47" s="186"/>
    </row>
    <row r="48" spans="1:32" s="51" customFormat="1" ht="15.95" customHeight="1">
      <c r="A48" s="60"/>
      <c r="B48" s="64"/>
      <c r="C48" s="592"/>
      <c r="D48" s="540"/>
      <c r="E48" s="542"/>
      <c r="F48" s="547"/>
      <c r="G48" s="570">
        <f t="shared" si="1"/>
        <v>0</v>
      </c>
      <c r="H48" s="573" t="e">
        <f t="shared" si="3"/>
        <v>#DIV/0!</v>
      </c>
      <c r="I48" s="115" t="s">
        <v>387</v>
      </c>
      <c r="J48" s="72">
        <v>100000</v>
      </c>
      <c r="K48" s="22" t="s">
        <v>9</v>
      </c>
      <c r="L48" s="23" t="s">
        <v>16</v>
      </c>
      <c r="M48" s="436">
        <v>4</v>
      </c>
      <c r="N48" s="436" t="s">
        <v>23</v>
      </c>
      <c r="O48" s="24" t="s">
        <v>15</v>
      </c>
      <c r="P48" s="72">
        <f>SUM(J48*M48)</f>
        <v>400000</v>
      </c>
      <c r="Q48" s="12" t="s">
        <v>9</v>
      </c>
      <c r="AD48" s="52"/>
      <c r="AE48" s="186"/>
      <c r="AF48" s="186"/>
    </row>
    <row r="49" spans="1:32" s="51" customFormat="1" ht="20.100000000000001" customHeight="1">
      <c r="A49" s="60"/>
      <c r="B49" s="53" t="s">
        <v>60</v>
      </c>
      <c r="C49" s="228" t="s">
        <v>39</v>
      </c>
      <c r="D49" s="229">
        <f>SUM(D50:D62,D63:D76)</f>
        <v>579675</v>
      </c>
      <c r="E49" s="230">
        <f>SUM(E50:E76)</f>
        <v>579675</v>
      </c>
      <c r="F49" s="231">
        <f>SUM(F50:F62,F63:F76)</f>
        <v>274672</v>
      </c>
      <c r="G49" s="232">
        <f>E49-D49</f>
        <v>0</v>
      </c>
      <c r="H49" s="233">
        <f t="shared" si="3"/>
        <v>0</v>
      </c>
      <c r="I49" s="445"/>
      <c r="J49" s="63"/>
      <c r="K49" s="153"/>
      <c r="L49" s="153"/>
      <c r="M49" s="153"/>
      <c r="N49" s="153"/>
      <c r="O49" s="153"/>
      <c r="P49" s="58">
        <f>SUM(P50,P52,P59,P63,P67,P74)</f>
        <v>579675000</v>
      </c>
      <c r="Q49" s="59" t="s">
        <v>9</v>
      </c>
      <c r="AD49" s="52"/>
      <c r="AE49" s="186"/>
      <c r="AF49" s="186"/>
    </row>
    <row r="50" spans="1:32" s="51" customFormat="1" ht="15.95" customHeight="1">
      <c r="A50" s="60"/>
      <c r="B50" s="64"/>
      <c r="C50" s="596" t="s">
        <v>58</v>
      </c>
      <c r="D50" s="539">
        <v>500</v>
      </c>
      <c r="E50" s="541">
        <f>+P50/1000</f>
        <v>500</v>
      </c>
      <c r="F50" s="546">
        <v>107</v>
      </c>
      <c r="G50" s="569">
        <f t="shared" si="1"/>
        <v>0</v>
      </c>
      <c r="H50" s="571">
        <f t="shared" si="3"/>
        <v>0</v>
      </c>
      <c r="I50" s="445"/>
      <c r="J50" s="63"/>
      <c r="K50" s="153"/>
      <c r="L50" s="398"/>
      <c r="M50" s="398" t="s">
        <v>55</v>
      </c>
      <c r="N50" s="398"/>
      <c r="O50" s="398"/>
      <c r="P50" s="63">
        <f>SUM(P51)</f>
        <v>500000</v>
      </c>
      <c r="Q50" s="59" t="s">
        <v>9</v>
      </c>
      <c r="AD50" s="52"/>
      <c r="AE50" s="186"/>
      <c r="AF50" s="186"/>
    </row>
    <row r="51" spans="1:32" s="51" customFormat="1" ht="15.95" customHeight="1">
      <c r="A51" s="60"/>
      <c r="B51" s="234"/>
      <c r="C51" s="597"/>
      <c r="D51" s="579"/>
      <c r="E51" s="580"/>
      <c r="F51" s="547"/>
      <c r="G51" s="577">
        <f t="shared" si="1"/>
        <v>0</v>
      </c>
      <c r="H51" s="572" t="e">
        <f t="shared" si="3"/>
        <v>#DIV/0!</v>
      </c>
      <c r="I51" s="225" t="s">
        <v>212</v>
      </c>
      <c r="J51" s="69">
        <v>100000</v>
      </c>
      <c r="K51" s="14" t="s">
        <v>9</v>
      </c>
      <c r="L51" s="15" t="s">
        <v>16</v>
      </c>
      <c r="M51" s="16">
        <v>5</v>
      </c>
      <c r="N51" s="16" t="s">
        <v>23</v>
      </c>
      <c r="O51" s="17" t="s">
        <v>15</v>
      </c>
      <c r="P51" s="69">
        <f>SUM(J51*M51)</f>
        <v>500000</v>
      </c>
      <c r="Q51" s="18" t="s">
        <v>9</v>
      </c>
      <c r="AD51" s="52"/>
      <c r="AE51" s="186"/>
      <c r="AF51" s="186"/>
    </row>
    <row r="52" spans="1:32" s="51" customFormat="1" ht="15.95" customHeight="1">
      <c r="A52" s="60"/>
      <c r="B52" s="64"/>
      <c r="C52" s="598" t="s">
        <v>302</v>
      </c>
      <c r="D52" s="539">
        <v>213344</v>
      </c>
      <c r="E52" s="541">
        <f>+P52/1000</f>
        <v>212444</v>
      </c>
      <c r="F52" s="546">
        <v>27504</v>
      </c>
      <c r="G52" s="569">
        <f t="shared" si="1"/>
        <v>-900</v>
      </c>
      <c r="H52" s="571">
        <f t="shared" si="3"/>
        <v>-0.42185390730463479</v>
      </c>
      <c r="I52" s="445"/>
      <c r="J52" s="63"/>
      <c r="K52" s="153"/>
      <c r="L52" s="153"/>
      <c r="M52" s="471" t="s">
        <v>55</v>
      </c>
      <c r="N52" s="471"/>
      <c r="O52" s="471"/>
      <c r="P52" s="58">
        <f>SUM(P53:P58)</f>
        <v>212444000</v>
      </c>
      <c r="Q52" s="59" t="s">
        <v>9</v>
      </c>
      <c r="AD52" s="52"/>
      <c r="AE52" s="186"/>
      <c r="AF52" s="186"/>
    </row>
    <row r="53" spans="1:32" s="51" customFormat="1" ht="15.95" customHeight="1">
      <c r="A53" s="60"/>
      <c r="B53" s="64"/>
      <c r="C53" s="599"/>
      <c r="D53" s="540"/>
      <c r="E53" s="542"/>
      <c r="F53" s="548"/>
      <c r="G53" s="570"/>
      <c r="H53" s="573"/>
      <c r="I53" s="115" t="s">
        <v>393</v>
      </c>
      <c r="J53" s="72">
        <v>15157000</v>
      </c>
      <c r="K53" s="22" t="s">
        <v>13</v>
      </c>
      <c r="L53" s="436" t="s">
        <v>16</v>
      </c>
      <c r="M53" s="436">
        <v>12</v>
      </c>
      <c r="N53" s="436" t="s">
        <v>13</v>
      </c>
      <c r="O53" s="436" t="s">
        <v>35</v>
      </c>
      <c r="P53" s="84">
        <f>J53*M53</f>
        <v>181884000</v>
      </c>
      <c r="Q53" s="12" t="s">
        <v>9</v>
      </c>
      <c r="AD53" s="52"/>
      <c r="AE53" s="186"/>
      <c r="AF53" s="186"/>
    </row>
    <row r="54" spans="1:32" s="51" customFormat="1" ht="15.95" customHeight="1">
      <c r="A54" s="60"/>
      <c r="B54" s="64"/>
      <c r="C54" s="592"/>
      <c r="D54" s="540"/>
      <c r="E54" s="542"/>
      <c r="F54" s="548"/>
      <c r="G54" s="570">
        <f t="shared" si="1"/>
        <v>0</v>
      </c>
      <c r="H54" s="573" t="e">
        <f t="shared" si="3"/>
        <v>#DIV/0!</v>
      </c>
      <c r="I54" s="115" t="s">
        <v>295</v>
      </c>
      <c r="J54" s="72">
        <v>2805000</v>
      </c>
      <c r="K54" s="22" t="s">
        <v>9</v>
      </c>
      <c r="L54" s="23" t="s">
        <v>16</v>
      </c>
      <c r="M54" s="436">
        <v>2</v>
      </c>
      <c r="N54" s="436" t="s">
        <v>23</v>
      </c>
      <c r="O54" s="24" t="s">
        <v>15</v>
      </c>
      <c r="P54" s="72">
        <f>SUM(J54*M54)</f>
        <v>5610000</v>
      </c>
      <c r="Q54" s="12" t="s">
        <v>9</v>
      </c>
      <c r="AD54" s="52"/>
      <c r="AE54" s="186"/>
      <c r="AF54" s="186"/>
    </row>
    <row r="55" spans="1:32" s="51" customFormat="1" ht="15.95" customHeight="1">
      <c r="A55" s="60"/>
      <c r="B55" s="64"/>
      <c r="C55" s="592"/>
      <c r="D55" s="540"/>
      <c r="E55" s="542"/>
      <c r="F55" s="548"/>
      <c r="G55" s="570"/>
      <c r="H55" s="573"/>
      <c r="I55" s="115" t="s">
        <v>386</v>
      </c>
      <c r="J55" s="72">
        <v>2875000</v>
      </c>
      <c r="K55" s="22" t="s">
        <v>9</v>
      </c>
      <c r="L55" s="23" t="s">
        <v>16</v>
      </c>
      <c r="M55" s="436">
        <v>2</v>
      </c>
      <c r="N55" s="436" t="s">
        <v>23</v>
      </c>
      <c r="O55" s="24" t="s">
        <v>15</v>
      </c>
      <c r="P55" s="72">
        <f>SUM(J55*M55)</f>
        <v>5750000</v>
      </c>
      <c r="Q55" s="12" t="s">
        <v>9</v>
      </c>
      <c r="AD55" s="52"/>
      <c r="AE55" s="186"/>
      <c r="AF55" s="186"/>
    </row>
    <row r="56" spans="1:32" s="51" customFormat="1" ht="15.95" customHeight="1">
      <c r="A56" s="60"/>
      <c r="B56" s="64"/>
      <c r="C56" s="592"/>
      <c r="D56" s="540"/>
      <c r="E56" s="542"/>
      <c r="F56" s="548"/>
      <c r="G56" s="570">
        <f t="shared" si="1"/>
        <v>0</v>
      </c>
      <c r="H56" s="573" t="e">
        <f t="shared" si="3"/>
        <v>#DIV/0!</v>
      </c>
      <c r="I56" s="115" t="s">
        <v>92</v>
      </c>
      <c r="J56" s="72">
        <v>1000000</v>
      </c>
      <c r="K56" s="22" t="s">
        <v>9</v>
      </c>
      <c r="L56" s="23" t="s">
        <v>16</v>
      </c>
      <c r="M56" s="436">
        <v>12</v>
      </c>
      <c r="N56" s="436" t="s">
        <v>13</v>
      </c>
      <c r="O56" s="24" t="s">
        <v>15</v>
      </c>
      <c r="P56" s="72">
        <f>SUM(J56*M56)</f>
        <v>12000000</v>
      </c>
      <c r="Q56" s="12" t="s">
        <v>9</v>
      </c>
      <c r="AD56" s="52"/>
      <c r="AE56" s="186"/>
      <c r="AF56" s="186"/>
    </row>
    <row r="57" spans="1:32" s="51" customFormat="1" ht="15.95" customHeight="1">
      <c r="A57" s="60"/>
      <c r="B57" s="64"/>
      <c r="C57" s="592"/>
      <c r="D57" s="540"/>
      <c r="E57" s="542"/>
      <c r="F57" s="548"/>
      <c r="G57" s="570"/>
      <c r="H57" s="573"/>
      <c r="I57" s="115" t="s">
        <v>150</v>
      </c>
      <c r="J57" s="72">
        <v>300000</v>
      </c>
      <c r="K57" s="22" t="s">
        <v>9</v>
      </c>
      <c r="L57" s="23" t="s">
        <v>16</v>
      </c>
      <c r="M57" s="436">
        <v>12</v>
      </c>
      <c r="N57" s="436" t="s">
        <v>13</v>
      </c>
      <c r="O57" s="24" t="s">
        <v>15</v>
      </c>
      <c r="P57" s="72">
        <f>SUM(J57*M57)</f>
        <v>3600000</v>
      </c>
      <c r="Q57" s="12" t="s">
        <v>9</v>
      </c>
      <c r="AD57" s="52"/>
      <c r="AE57" s="186"/>
      <c r="AF57" s="186"/>
    </row>
    <row r="58" spans="1:32" s="51" customFormat="1" ht="15.95" customHeight="1">
      <c r="A58" s="60"/>
      <c r="B58" s="64"/>
      <c r="C58" s="597"/>
      <c r="D58" s="579"/>
      <c r="E58" s="580"/>
      <c r="F58" s="547"/>
      <c r="G58" s="577">
        <f t="shared" si="1"/>
        <v>0</v>
      </c>
      <c r="H58" s="572" t="e">
        <f t="shared" ref="H58:H67" si="4">+G58/D58*100</f>
        <v>#DIV/0!</v>
      </c>
      <c r="I58" s="225" t="s">
        <v>117</v>
      </c>
      <c r="J58" s="69">
        <v>300000</v>
      </c>
      <c r="K58" s="14" t="s">
        <v>9</v>
      </c>
      <c r="L58" s="15" t="s">
        <v>16</v>
      </c>
      <c r="M58" s="16">
        <v>12</v>
      </c>
      <c r="N58" s="16" t="s">
        <v>13</v>
      </c>
      <c r="O58" s="17" t="s">
        <v>15</v>
      </c>
      <c r="P58" s="69">
        <f>SUM(J58*M58)</f>
        <v>3600000</v>
      </c>
      <c r="Q58" s="18" t="s">
        <v>9</v>
      </c>
      <c r="AD58" s="52"/>
      <c r="AE58" s="186"/>
      <c r="AF58" s="186"/>
    </row>
    <row r="59" spans="1:32" s="51" customFormat="1" ht="15.95" customHeight="1">
      <c r="A59" s="60"/>
      <c r="B59" s="64"/>
      <c r="C59" s="592" t="s">
        <v>129</v>
      </c>
      <c r="D59" s="540">
        <v>8220</v>
      </c>
      <c r="E59" s="542">
        <f>P59/1000</f>
        <v>8220</v>
      </c>
      <c r="F59" s="548">
        <v>9102</v>
      </c>
      <c r="G59" s="570">
        <f>+E59-D59</f>
        <v>0</v>
      </c>
      <c r="H59" s="573">
        <f t="shared" si="4"/>
        <v>0</v>
      </c>
      <c r="I59" s="115"/>
      <c r="J59" s="72"/>
      <c r="K59" s="22"/>
      <c r="L59" s="22"/>
      <c r="M59" s="581" t="s">
        <v>55</v>
      </c>
      <c r="N59" s="581"/>
      <c r="O59" s="581"/>
      <c r="P59" s="84">
        <f>SUM(P60:P62)</f>
        <v>8220000</v>
      </c>
      <c r="Q59" s="12" t="s">
        <v>9</v>
      </c>
      <c r="AD59" s="52"/>
      <c r="AE59" s="186"/>
      <c r="AF59" s="186"/>
    </row>
    <row r="60" spans="1:32" s="51" customFormat="1" ht="15.95" customHeight="1">
      <c r="A60" s="60"/>
      <c r="B60" s="64"/>
      <c r="C60" s="592"/>
      <c r="D60" s="540"/>
      <c r="E60" s="542"/>
      <c r="F60" s="548"/>
      <c r="G60" s="570">
        <f>+E60-D60</f>
        <v>0</v>
      </c>
      <c r="H60" s="573" t="e">
        <f t="shared" si="4"/>
        <v>#DIV/0!</v>
      </c>
      <c r="I60" s="115" t="s">
        <v>365</v>
      </c>
      <c r="J60" s="72">
        <v>400000</v>
      </c>
      <c r="K60" s="22" t="s">
        <v>9</v>
      </c>
      <c r="L60" s="23" t="s">
        <v>16</v>
      </c>
      <c r="M60" s="436">
        <v>12</v>
      </c>
      <c r="N60" s="436" t="s">
        <v>13</v>
      </c>
      <c r="O60" s="24" t="s">
        <v>15</v>
      </c>
      <c r="P60" s="72">
        <f>SUM(J60*M60)</f>
        <v>4800000</v>
      </c>
      <c r="Q60" s="12" t="s">
        <v>9</v>
      </c>
      <c r="AD60" s="52"/>
      <c r="AE60" s="186"/>
      <c r="AF60" s="186"/>
    </row>
    <row r="61" spans="1:32" s="51" customFormat="1" ht="15.95" customHeight="1">
      <c r="A61" s="60"/>
      <c r="B61" s="64"/>
      <c r="C61" s="592"/>
      <c r="D61" s="540"/>
      <c r="E61" s="542"/>
      <c r="F61" s="548"/>
      <c r="G61" s="570">
        <f>+E61-D61</f>
        <v>0</v>
      </c>
      <c r="H61" s="573" t="e">
        <f t="shared" si="4"/>
        <v>#DIV/0!</v>
      </c>
      <c r="I61" s="115" t="s">
        <v>77</v>
      </c>
      <c r="J61" s="72">
        <v>235000</v>
      </c>
      <c r="K61" s="22" t="s">
        <v>9</v>
      </c>
      <c r="L61" s="23" t="s">
        <v>16</v>
      </c>
      <c r="M61" s="436">
        <v>12</v>
      </c>
      <c r="N61" s="436" t="s">
        <v>13</v>
      </c>
      <c r="O61" s="24" t="s">
        <v>15</v>
      </c>
      <c r="P61" s="72">
        <f>SUM(J61*M61)</f>
        <v>2820000</v>
      </c>
      <c r="Q61" s="12" t="s">
        <v>9</v>
      </c>
      <c r="AD61" s="52"/>
      <c r="AE61" s="186"/>
      <c r="AF61" s="186"/>
    </row>
    <row r="62" spans="1:32" s="51" customFormat="1" ht="15.95" customHeight="1">
      <c r="A62" s="60"/>
      <c r="B62" s="64"/>
      <c r="C62" s="592"/>
      <c r="D62" s="540"/>
      <c r="E62" s="542"/>
      <c r="F62" s="548"/>
      <c r="G62" s="570">
        <f>+E62-D62</f>
        <v>0</v>
      </c>
      <c r="H62" s="573" t="e">
        <f t="shared" si="4"/>
        <v>#DIV/0!</v>
      </c>
      <c r="I62" s="115" t="s">
        <v>137</v>
      </c>
      <c r="J62" s="72">
        <v>50000</v>
      </c>
      <c r="K62" s="22" t="s">
        <v>9</v>
      </c>
      <c r="L62" s="23" t="s">
        <v>16</v>
      </c>
      <c r="M62" s="436">
        <v>12</v>
      </c>
      <c r="N62" s="436" t="s">
        <v>23</v>
      </c>
      <c r="O62" s="24" t="s">
        <v>15</v>
      </c>
      <c r="P62" s="72">
        <f>SUM(J62*M62)</f>
        <v>600000</v>
      </c>
      <c r="Q62" s="12" t="s">
        <v>9</v>
      </c>
      <c r="AD62" s="52"/>
      <c r="AE62" s="186"/>
      <c r="AF62" s="186"/>
    </row>
    <row r="63" spans="1:32" s="51" customFormat="1" ht="15.95" customHeight="1">
      <c r="A63" s="60" t="s">
        <v>41</v>
      </c>
      <c r="B63" s="64" t="s">
        <v>41</v>
      </c>
      <c r="C63" s="593" t="s">
        <v>93</v>
      </c>
      <c r="D63" s="539">
        <v>61460</v>
      </c>
      <c r="E63" s="541">
        <f>+P63/1000</f>
        <v>61460</v>
      </c>
      <c r="F63" s="546">
        <v>194780</v>
      </c>
      <c r="G63" s="569">
        <f>+E63-D63</f>
        <v>0</v>
      </c>
      <c r="H63" s="571">
        <f t="shared" si="4"/>
        <v>0</v>
      </c>
      <c r="I63" s="445"/>
      <c r="J63" s="63"/>
      <c r="K63" s="153"/>
      <c r="L63" s="153"/>
      <c r="M63" s="471" t="s">
        <v>55</v>
      </c>
      <c r="N63" s="471"/>
      <c r="O63" s="471"/>
      <c r="P63" s="58">
        <f>SUM(P64:P66)</f>
        <v>61460000</v>
      </c>
      <c r="Q63" s="59" t="s">
        <v>9</v>
      </c>
      <c r="AD63" s="52"/>
      <c r="AE63" s="186"/>
      <c r="AF63" s="186"/>
    </row>
    <row r="64" spans="1:32" s="51" customFormat="1" ht="15.95" customHeight="1">
      <c r="A64" s="60"/>
      <c r="B64" s="64"/>
      <c r="C64" s="594"/>
      <c r="D64" s="540"/>
      <c r="E64" s="542"/>
      <c r="F64" s="548"/>
      <c r="G64" s="570"/>
      <c r="H64" s="573"/>
      <c r="I64" s="115" t="s">
        <v>147</v>
      </c>
      <c r="J64" s="72">
        <v>8960000</v>
      </c>
      <c r="K64" s="22" t="s">
        <v>9</v>
      </c>
      <c r="L64" s="23" t="s">
        <v>16</v>
      </c>
      <c r="M64" s="436">
        <v>6</v>
      </c>
      <c r="N64" s="436" t="s">
        <v>23</v>
      </c>
      <c r="O64" s="24" t="s">
        <v>15</v>
      </c>
      <c r="P64" s="72">
        <f>SUM(J64*M64)</f>
        <v>53760000</v>
      </c>
      <c r="Q64" s="12" t="s">
        <v>9</v>
      </c>
      <c r="AD64" s="52"/>
      <c r="AE64" s="186"/>
      <c r="AF64" s="186"/>
    </row>
    <row r="65" spans="1:32" s="51" customFormat="1" ht="15.95" customHeight="1">
      <c r="A65" s="60"/>
      <c r="B65" s="64"/>
      <c r="C65" s="594"/>
      <c r="D65" s="540"/>
      <c r="E65" s="542"/>
      <c r="F65" s="548"/>
      <c r="G65" s="570"/>
      <c r="H65" s="573"/>
      <c r="I65" s="235" t="s">
        <v>278</v>
      </c>
      <c r="J65" s="72">
        <v>1900000</v>
      </c>
      <c r="K65" s="22" t="s">
        <v>9</v>
      </c>
      <c r="L65" s="23" t="s">
        <v>16</v>
      </c>
      <c r="M65" s="436">
        <v>3</v>
      </c>
      <c r="N65" s="436" t="s">
        <v>23</v>
      </c>
      <c r="O65" s="436" t="s">
        <v>15</v>
      </c>
      <c r="P65" s="72">
        <f>SUM(J65*M65)</f>
        <v>5700000</v>
      </c>
      <c r="Q65" s="12" t="s">
        <v>9</v>
      </c>
      <c r="AD65" s="52"/>
      <c r="AE65" s="186"/>
      <c r="AF65" s="186"/>
    </row>
    <row r="66" spans="1:32" s="51" customFormat="1" ht="15.95" customHeight="1">
      <c r="A66" s="60"/>
      <c r="B66" s="64"/>
      <c r="C66" s="595"/>
      <c r="D66" s="579"/>
      <c r="E66" s="580"/>
      <c r="F66" s="547"/>
      <c r="G66" s="577"/>
      <c r="H66" s="572"/>
      <c r="I66" s="225" t="s">
        <v>396</v>
      </c>
      <c r="J66" s="69">
        <v>1000000</v>
      </c>
      <c r="K66" s="14" t="s">
        <v>9</v>
      </c>
      <c r="L66" s="15" t="s">
        <v>16</v>
      </c>
      <c r="M66" s="16">
        <v>2</v>
      </c>
      <c r="N66" s="16" t="s">
        <v>21</v>
      </c>
      <c r="O66" s="17" t="s">
        <v>15</v>
      </c>
      <c r="P66" s="69">
        <f>SUM(J66*M66)</f>
        <v>2000000</v>
      </c>
      <c r="Q66" s="18" t="s">
        <v>9</v>
      </c>
      <c r="AD66" s="52"/>
      <c r="AE66" s="186"/>
      <c r="AF66" s="186"/>
    </row>
    <row r="67" spans="1:32" s="51" customFormat="1" ht="15.95" customHeight="1">
      <c r="A67" s="41" t="s">
        <v>29</v>
      </c>
      <c r="B67" s="399" t="s">
        <v>60</v>
      </c>
      <c r="C67" s="593" t="s">
        <v>194</v>
      </c>
      <c r="D67" s="539">
        <v>295251</v>
      </c>
      <c r="E67" s="541">
        <f>+P67/1000</f>
        <v>295251</v>
      </c>
      <c r="F67" s="427">
        <v>36590</v>
      </c>
      <c r="G67" s="569">
        <f>E67-D67</f>
        <v>0</v>
      </c>
      <c r="H67" s="574">
        <f t="shared" si="4"/>
        <v>0</v>
      </c>
      <c r="I67" s="236"/>
      <c r="J67" s="237"/>
      <c r="K67" s="153"/>
      <c r="L67" s="398"/>
      <c r="M67" s="471" t="s">
        <v>55</v>
      </c>
      <c r="N67" s="471"/>
      <c r="O67" s="471"/>
      <c r="P67" s="63">
        <f>SUM(P68:P73)</f>
        <v>295251000</v>
      </c>
      <c r="Q67" s="59" t="s">
        <v>9</v>
      </c>
      <c r="AD67" s="52"/>
      <c r="AE67" s="186"/>
      <c r="AF67" s="186"/>
    </row>
    <row r="68" spans="1:32" s="51" customFormat="1" ht="15.95" customHeight="1">
      <c r="A68" s="60"/>
      <c r="B68" s="64"/>
      <c r="C68" s="594"/>
      <c r="D68" s="540"/>
      <c r="E68" s="542"/>
      <c r="F68" s="429"/>
      <c r="G68" s="570"/>
      <c r="H68" s="575"/>
      <c r="I68" s="115" t="s">
        <v>354</v>
      </c>
      <c r="J68" s="72">
        <v>2750000</v>
      </c>
      <c r="K68" s="22" t="s">
        <v>9</v>
      </c>
      <c r="L68" s="23" t="s">
        <v>16</v>
      </c>
      <c r="M68" s="436">
        <v>4</v>
      </c>
      <c r="N68" s="436" t="s">
        <v>47</v>
      </c>
      <c r="O68" s="24" t="s">
        <v>15</v>
      </c>
      <c r="P68" s="72">
        <f t="shared" ref="P68:P73" si="5">SUM(J68*M68)</f>
        <v>11000000</v>
      </c>
      <c r="Q68" s="12" t="s">
        <v>9</v>
      </c>
      <c r="AD68" s="52"/>
      <c r="AE68" s="186"/>
      <c r="AF68" s="186"/>
    </row>
    <row r="69" spans="1:32" s="51" customFormat="1" ht="15.95" customHeight="1">
      <c r="A69" s="60"/>
      <c r="B69" s="64"/>
      <c r="C69" s="594"/>
      <c r="D69" s="540"/>
      <c r="E69" s="542"/>
      <c r="F69" s="429"/>
      <c r="G69" s="570"/>
      <c r="H69" s="575"/>
      <c r="I69" s="115" t="s">
        <v>125</v>
      </c>
      <c r="J69" s="72">
        <v>12500000</v>
      </c>
      <c r="K69" s="22" t="s">
        <v>9</v>
      </c>
      <c r="L69" s="23" t="s">
        <v>16</v>
      </c>
      <c r="M69" s="436">
        <v>20</v>
      </c>
      <c r="N69" s="436" t="s">
        <v>23</v>
      </c>
      <c r="O69" s="24" t="s">
        <v>15</v>
      </c>
      <c r="P69" s="72">
        <f t="shared" si="5"/>
        <v>250000000</v>
      </c>
      <c r="Q69" s="12" t="s">
        <v>9</v>
      </c>
      <c r="AD69" s="52"/>
      <c r="AE69" s="186"/>
      <c r="AF69" s="186"/>
    </row>
    <row r="70" spans="1:32" s="51" customFormat="1" ht="15.95" customHeight="1">
      <c r="A70" s="238"/>
      <c r="B70" s="239"/>
      <c r="C70" s="594"/>
      <c r="D70" s="540"/>
      <c r="E70" s="542"/>
      <c r="F70" s="429"/>
      <c r="G70" s="570"/>
      <c r="H70" s="575"/>
      <c r="I70" s="115" t="s">
        <v>74</v>
      </c>
      <c r="J70" s="72">
        <v>891000</v>
      </c>
      <c r="K70" s="22" t="s">
        <v>9</v>
      </c>
      <c r="L70" s="23" t="s">
        <v>16</v>
      </c>
      <c r="M70" s="436">
        <v>1</v>
      </c>
      <c r="N70" s="436" t="s">
        <v>23</v>
      </c>
      <c r="O70" s="24" t="s">
        <v>15</v>
      </c>
      <c r="P70" s="72">
        <f t="shared" si="5"/>
        <v>891000</v>
      </c>
      <c r="Q70" s="12" t="s">
        <v>9</v>
      </c>
      <c r="R70" s="181"/>
      <c r="S70" s="181"/>
      <c r="T70" s="181"/>
      <c r="U70" s="181"/>
      <c r="V70" s="181"/>
      <c r="W70" s="181"/>
      <c r="X70" s="181"/>
      <c r="Y70" s="181"/>
      <c r="Z70" s="181"/>
      <c r="AA70" s="181"/>
      <c r="AB70" s="181"/>
      <c r="AC70" s="181"/>
      <c r="AD70" s="240"/>
      <c r="AE70" s="240"/>
      <c r="AF70" s="240"/>
    </row>
    <row r="71" spans="1:32" s="51" customFormat="1" ht="15.95" customHeight="1">
      <c r="A71" s="238"/>
      <c r="B71" s="239"/>
      <c r="C71" s="594"/>
      <c r="D71" s="540"/>
      <c r="E71" s="542"/>
      <c r="F71" s="429"/>
      <c r="G71" s="570"/>
      <c r="H71" s="575"/>
      <c r="I71" s="133" t="s">
        <v>433</v>
      </c>
      <c r="J71" s="170">
        <v>400000</v>
      </c>
      <c r="K71" s="121" t="s">
        <v>9</v>
      </c>
      <c r="L71" s="89" t="s">
        <v>16</v>
      </c>
      <c r="M71" s="88">
        <v>16</v>
      </c>
      <c r="N71" s="88" t="s">
        <v>40</v>
      </c>
      <c r="O71" s="90" t="s">
        <v>15</v>
      </c>
      <c r="P71" s="72">
        <f t="shared" si="5"/>
        <v>6400000</v>
      </c>
      <c r="Q71" s="91" t="s">
        <v>9</v>
      </c>
      <c r="R71" s="181"/>
      <c r="S71" s="181"/>
      <c r="T71" s="181"/>
      <c r="U71" s="181"/>
      <c r="V71" s="181"/>
      <c r="W71" s="181"/>
      <c r="X71" s="181"/>
      <c r="Y71" s="181"/>
      <c r="Z71" s="181"/>
      <c r="AA71" s="181"/>
      <c r="AB71" s="181"/>
      <c r="AC71" s="181"/>
      <c r="AD71" s="240"/>
      <c r="AE71" s="240"/>
      <c r="AF71" s="240"/>
    </row>
    <row r="72" spans="1:32" s="51" customFormat="1" ht="15.95" customHeight="1">
      <c r="A72" s="60"/>
      <c r="B72" s="64"/>
      <c r="C72" s="594"/>
      <c r="D72" s="540"/>
      <c r="E72" s="542"/>
      <c r="F72" s="429"/>
      <c r="G72" s="570"/>
      <c r="H72" s="575"/>
      <c r="I72" s="115" t="s">
        <v>149</v>
      </c>
      <c r="J72" s="72">
        <v>2180000</v>
      </c>
      <c r="K72" s="22" t="s">
        <v>9</v>
      </c>
      <c r="L72" s="23" t="s">
        <v>16</v>
      </c>
      <c r="M72" s="436">
        <v>12</v>
      </c>
      <c r="N72" s="436" t="s">
        <v>23</v>
      </c>
      <c r="O72" s="24" t="s">
        <v>15</v>
      </c>
      <c r="P72" s="72">
        <f t="shared" si="5"/>
        <v>26160000</v>
      </c>
      <c r="Q72" s="12" t="s">
        <v>9</v>
      </c>
      <c r="AD72" s="52"/>
      <c r="AE72" s="186"/>
      <c r="AF72" s="186"/>
    </row>
    <row r="73" spans="1:32" s="51" customFormat="1" ht="15.95" customHeight="1">
      <c r="A73" s="60"/>
      <c r="B73" s="64"/>
      <c r="C73" s="595"/>
      <c r="D73" s="579"/>
      <c r="E73" s="580"/>
      <c r="F73" s="429"/>
      <c r="G73" s="577"/>
      <c r="H73" s="576"/>
      <c r="I73" s="115" t="s">
        <v>262</v>
      </c>
      <c r="J73" s="72">
        <v>400000</v>
      </c>
      <c r="K73" s="22" t="s">
        <v>9</v>
      </c>
      <c r="L73" s="23" t="s">
        <v>16</v>
      </c>
      <c r="M73" s="436">
        <v>2</v>
      </c>
      <c r="N73" s="436" t="s">
        <v>23</v>
      </c>
      <c r="O73" s="24" t="s">
        <v>15</v>
      </c>
      <c r="P73" s="72">
        <f t="shared" si="5"/>
        <v>800000</v>
      </c>
      <c r="Q73" s="12" t="s">
        <v>9</v>
      </c>
      <c r="AD73" s="52"/>
      <c r="AE73" s="186"/>
      <c r="AF73" s="186"/>
    </row>
    <row r="74" spans="1:32" s="51" customFormat="1" ht="15.95" customHeight="1">
      <c r="A74" s="60"/>
      <c r="B74" s="64"/>
      <c r="C74" s="596" t="s">
        <v>52</v>
      </c>
      <c r="D74" s="539">
        <v>900</v>
      </c>
      <c r="E74" s="541">
        <f>+P74/1000</f>
        <v>1800</v>
      </c>
      <c r="F74" s="546">
        <v>6589</v>
      </c>
      <c r="G74" s="569">
        <f>+E74-D74</f>
        <v>900</v>
      </c>
      <c r="H74" s="571">
        <f>+G74/D74*100</f>
        <v>100</v>
      </c>
      <c r="I74" s="445"/>
      <c r="J74" s="63"/>
      <c r="K74" s="153"/>
      <c r="L74" s="398"/>
      <c r="M74" s="471" t="s">
        <v>55</v>
      </c>
      <c r="N74" s="471"/>
      <c r="O74" s="471"/>
      <c r="P74" s="63">
        <f>SUM(P75:P76)</f>
        <v>1800000</v>
      </c>
      <c r="Q74" s="59" t="s">
        <v>9</v>
      </c>
      <c r="AD74" s="52"/>
      <c r="AE74" s="186"/>
      <c r="AF74" s="186"/>
    </row>
    <row r="75" spans="1:32" s="51" customFormat="1" ht="15.95" customHeight="1">
      <c r="A75" s="60"/>
      <c r="B75" s="64"/>
      <c r="C75" s="592"/>
      <c r="D75" s="540"/>
      <c r="E75" s="542"/>
      <c r="F75" s="548"/>
      <c r="G75" s="570">
        <f>+E75-D75</f>
        <v>0</v>
      </c>
      <c r="H75" s="573" t="e">
        <f>+G75/D75*100</f>
        <v>#DIV/0!</v>
      </c>
      <c r="I75" s="115" t="s">
        <v>178</v>
      </c>
      <c r="J75" s="72">
        <v>50000</v>
      </c>
      <c r="K75" s="22" t="s">
        <v>9</v>
      </c>
      <c r="L75" s="436" t="s">
        <v>16</v>
      </c>
      <c r="M75" s="436">
        <v>12</v>
      </c>
      <c r="N75" s="436" t="s">
        <v>13</v>
      </c>
      <c r="O75" s="24" t="s">
        <v>15</v>
      </c>
      <c r="P75" s="72">
        <f>SUM(J75*M75)</f>
        <v>600000</v>
      </c>
      <c r="Q75" s="12" t="s">
        <v>9</v>
      </c>
      <c r="AD75" s="52"/>
      <c r="AE75" s="186"/>
      <c r="AF75" s="186"/>
    </row>
    <row r="76" spans="1:32" s="51" customFormat="1" ht="15.95" customHeight="1">
      <c r="A76" s="92"/>
      <c r="B76" s="93"/>
      <c r="C76" s="597"/>
      <c r="D76" s="579"/>
      <c r="E76" s="580"/>
      <c r="F76" s="547"/>
      <c r="G76" s="577">
        <f>+E76-D76</f>
        <v>0</v>
      </c>
      <c r="H76" s="572" t="e">
        <f>+G76/D76*100</f>
        <v>#DIV/0!</v>
      </c>
      <c r="I76" s="225" t="s">
        <v>68</v>
      </c>
      <c r="J76" s="69">
        <v>400000</v>
      </c>
      <c r="K76" s="14" t="s">
        <v>9</v>
      </c>
      <c r="L76" s="15" t="s">
        <v>16</v>
      </c>
      <c r="M76" s="16">
        <v>3</v>
      </c>
      <c r="N76" s="16" t="s">
        <v>23</v>
      </c>
      <c r="O76" s="17" t="s">
        <v>15</v>
      </c>
      <c r="P76" s="69">
        <f>SUM(J76*M76)</f>
        <v>1200000</v>
      </c>
      <c r="Q76" s="18" t="s">
        <v>9</v>
      </c>
      <c r="AD76" s="52"/>
      <c r="AE76" s="186"/>
      <c r="AF76" s="186"/>
    </row>
    <row r="77" spans="1:32" s="51" customFormat="1" ht="20.100000000000001" customHeight="1">
      <c r="A77" s="41" t="s">
        <v>20</v>
      </c>
      <c r="B77" s="534" t="s">
        <v>22</v>
      </c>
      <c r="C77" s="535"/>
      <c r="D77" s="241">
        <f>SUM(D78:D82)</f>
        <v>17860</v>
      </c>
      <c r="E77" s="242">
        <f>SUM(E78:E82)</f>
        <v>17860</v>
      </c>
      <c r="F77" s="243">
        <f>SUM(F78:F82)</f>
        <v>215364</v>
      </c>
      <c r="G77" s="244">
        <f>+E77-D77</f>
        <v>0</v>
      </c>
      <c r="H77" s="245">
        <f>+G77/D77*100</f>
        <v>0</v>
      </c>
      <c r="I77" s="115"/>
      <c r="J77" s="72"/>
      <c r="K77" s="22"/>
      <c r="L77" s="436"/>
      <c r="M77" s="436"/>
      <c r="N77" s="436"/>
      <c r="O77" s="436"/>
      <c r="P77" s="246">
        <f>SUM(P78,P80,P82)</f>
        <v>17860000</v>
      </c>
      <c r="Q77" s="50" t="s">
        <v>9</v>
      </c>
      <c r="AD77" s="52"/>
      <c r="AE77" s="186"/>
      <c r="AF77" s="186"/>
    </row>
    <row r="78" spans="1:32" s="51" customFormat="1" ht="16.5" customHeight="1">
      <c r="A78" s="41" t="s">
        <v>14</v>
      </c>
      <c r="B78" s="53" t="s">
        <v>10</v>
      </c>
      <c r="C78" s="596" t="s">
        <v>10</v>
      </c>
      <c r="D78" s="539">
        <v>1860</v>
      </c>
      <c r="E78" s="541">
        <f>+P78/1000</f>
        <v>3916</v>
      </c>
      <c r="F78" s="546">
        <v>290</v>
      </c>
      <c r="G78" s="569">
        <f>+E78-D78</f>
        <v>2056</v>
      </c>
      <c r="H78" s="571">
        <f>G78/D78*100</f>
        <v>110.53763440860216</v>
      </c>
      <c r="I78" s="247"/>
      <c r="J78" s="63"/>
      <c r="K78" s="153"/>
      <c r="L78" s="70"/>
      <c r="M78" s="398" t="s">
        <v>55</v>
      </c>
      <c r="N78" s="398"/>
      <c r="O78" s="398"/>
      <c r="P78" s="63">
        <f>SUM(P79:P79)</f>
        <v>3916000</v>
      </c>
      <c r="Q78" s="59" t="s">
        <v>9</v>
      </c>
      <c r="AD78" s="52"/>
      <c r="AE78" s="186"/>
      <c r="AF78" s="186"/>
    </row>
    <row r="79" spans="1:32" s="51" customFormat="1" ht="16.5" customHeight="1">
      <c r="A79" s="60"/>
      <c r="B79" s="64"/>
      <c r="C79" s="597"/>
      <c r="D79" s="579"/>
      <c r="E79" s="580"/>
      <c r="F79" s="547"/>
      <c r="G79" s="577"/>
      <c r="H79" s="572"/>
      <c r="I79" s="248" t="s">
        <v>83</v>
      </c>
      <c r="J79" s="69">
        <v>3916000</v>
      </c>
      <c r="K79" s="14" t="s">
        <v>9</v>
      </c>
      <c r="L79" s="15" t="s">
        <v>16</v>
      </c>
      <c r="M79" s="16">
        <v>1</v>
      </c>
      <c r="N79" s="16" t="s">
        <v>23</v>
      </c>
      <c r="O79" s="17" t="s">
        <v>15</v>
      </c>
      <c r="P79" s="69">
        <f>SUM(J79*M79)</f>
        <v>3916000</v>
      </c>
      <c r="Q79" s="18" t="s">
        <v>9</v>
      </c>
      <c r="AD79" s="52"/>
      <c r="AE79" s="186"/>
      <c r="AF79" s="186"/>
    </row>
    <row r="80" spans="1:32" s="51" customFormat="1" ht="16.5" customHeight="1">
      <c r="A80" s="60"/>
      <c r="B80" s="64"/>
      <c r="C80" s="593" t="s">
        <v>138</v>
      </c>
      <c r="D80" s="539">
        <v>15000</v>
      </c>
      <c r="E80" s="541">
        <f>+P80/1000</f>
        <v>12944</v>
      </c>
      <c r="F80" s="546">
        <v>80074</v>
      </c>
      <c r="G80" s="569">
        <f>+E80-D80</f>
        <v>-2056</v>
      </c>
      <c r="H80" s="571">
        <f>+G80/D80*100</f>
        <v>-13.706666666666667</v>
      </c>
      <c r="I80" s="249"/>
      <c r="J80" s="72"/>
      <c r="K80" s="22"/>
      <c r="L80" s="23"/>
      <c r="M80" s="436" t="s">
        <v>55</v>
      </c>
      <c r="N80" s="436"/>
      <c r="O80" s="436"/>
      <c r="P80" s="72">
        <f>SUM(P81:P81)</f>
        <v>12944000</v>
      </c>
      <c r="Q80" s="12" t="s">
        <v>9</v>
      </c>
      <c r="AD80" s="52"/>
      <c r="AE80" s="186"/>
      <c r="AF80" s="186"/>
    </row>
    <row r="81" spans="1:32" s="51" customFormat="1" ht="16.5" customHeight="1">
      <c r="A81" s="60"/>
      <c r="B81" s="64"/>
      <c r="C81" s="594"/>
      <c r="D81" s="540"/>
      <c r="E81" s="542"/>
      <c r="F81" s="548"/>
      <c r="G81" s="570"/>
      <c r="H81" s="573"/>
      <c r="I81" s="250" t="s">
        <v>373</v>
      </c>
      <c r="J81" s="72">
        <v>6472000</v>
      </c>
      <c r="K81" s="22" t="s">
        <v>9</v>
      </c>
      <c r="L81" s="23" t="s">
        <v>16</v>
      </c>
      <c r="M81" s="436">
        <v>2</v>
      </c>
      <c r="N81" s="436" t="s">
        <v>23</v>
      </c>
      <c r="O81" s="24" t="s">
        <v>15</v>
      </c>
      <c r="P81" s="72">
        <f>SUM(J81*M81)</f>
        <v>12944000</v>
      </c>
      <c r="Q81" s="12" t="s">
        <v>9</v>
      </c>
      <c r="AD81" s="52"/>
      <c r="AE81" s="186"/>
      <c r="AF81" s="186"/>
    </row>
    <row r="82" spans="1:32" s="51" customFormat="1" ht="16.5" customHeight="1">
      <c r="A82" s="60"/>
      <c r="B82" s="64"/>
      <c r="C82" s="613" t="s">
        <v>319</v>
      </c>
      <c r="D82" s="539">
        <v>1000</v>
      </c>
      <c r="E82" s="541">
        <f>+P82/1000</f>
        <v>1000</v>
      </c>
      <c r="F82" s="546">
        <v>135000</v>
      </c>
      <c r="G82" s="569">
        <f>+E82-D82</f>
        <v>0</v>
      </c>
      <c r="H82" s="574" t="s">
        <v>435</v>
      </c>
      <c r="I82" s="251"/>
      <c r="J82" s="63"/>
      <c r="K82" s="153"/>
      <c r="L82" s="70"/>
      <c r="M82" s="398" t="s">
        <v>55</v>
      </c>
      <c r="N82" s="398"/>
      <c r="O82" s="398"/>
      <c r="P82" s="63">
        <f>SUM(P83:P83)</f>
        <v>1000000</v>
      </c>
      <c r="Q82" s="59" t="s">
        <v>9</v>
      </c>
      <c r="AD82" s="52"/>
      <c r="AE82" s="186"/>
      <c r="AF82" s="186"/>
    </row>
    <row r="83" spans="1:32" s="51" customFormat="1" ht="16.5" customHeight="1" thickBot="1">
      <c r="A83" s="135"/>
      <c r="B83" s="64"/>
      <c r="C83" s="615"/>
      <c r="D83" s="540"/>
      <c r="E83" s="542"/>
      <c r="F83" s="548"/>
      <c r="G83" s="570"/>
      <c r="H83" s="578"/>
      <c r="I83" s="250" t="s">
        <v>161</v>
      </c>
      <c r="J83" s="72">
        <v>500000</v>
      </c>
      <c r="K83" s="22" t="s">
        <v>9</v>
      </c>
      <c r="L83" s="23" t="s">
        <v>16</v>
      </c>
      <c r="M83" s="436">
        <v>2</v>
      </c>
      <c r="N83" s="436" t="s">
        <v>23</v>
      </c>
      <c r="O83" s="24" t="s">
        <v>15</v>
      </c>
      <c r="P83" s="72">
        <f>J83*M83</f>
        <v>1000000</v>
      </c>
      <c r="Q83" s="12" t="s">
        <v>9</v>
      </c>
      <c r="AD83" s="52"/>
      <c r="AE83" s="186"/>
      <c r="AF83" s="186"/>
    </row>
    <row r="84" spans="1:32" ht="20.100000000000001" customHeight="1">
      <c r="A84" s="252" t="s">
        <v>62</v>
      </c>
      <c r="B84" s="604" t="s">
        <v>22</v>
      </c>
      <c r="C84" s="605"/>
      <c r="D84" s="253">
        <f>+D85+D103+D120+D148+D165+D176+D182+D187+D216+D196+D205</f>
        <v>1040395</v>
      </c>
      <c r="E84" s="253">
        <f>+E85+E103+E120+E148+E165+E176+E182+E187+E216+E196+E205</f>
        <v>897935.95993999997</v>
      </c>
      <c r="F84" s="254" t="e">
        <f>+F85+F103+F148+#REF!+#REF!+#REF!+F165+F176+F187+#REF!+F216+F196+F205+#REF!</f>
        <v>#REF!</v>
      </c>
      <c r="G84" s="255">
        <f>+E84-D84</f>
        <v>-142459.04006000003</v>
      </c>
      <c r="H84" s="256">
        <f>+G84/D84*100</f>
        <v>-13.692783996462884</v>
      </c>
      <c r="I84" s="257"/>
      <c r="J84" s="258"/>
      <c r="K84" s="259"/>
      <c r="L84" s="260"/>
      <c r="M84" s="260"/>
      <c r="N84" s="260"/>
      <c r="O84" s="260"/>
      <c r="P84" s="258">
        <f>+P85+P103+P120+P148+P165+P176+P182+P187+P196+P205+P216</f>
        <v>897935959.94000006</v>
      </c>
      <c r="Q84" s="261" t="s">
        <v>9</v>
      </c>
    </row>
    <row r="85" spans="1:32" ht="20.100000000000001" customHeight="1">
      <c r="A85" s="212"/>
      <c r="B85" s="394" t="s">
        <v>482</v>
      </c>
      <c r="C85" s="412" t="s">
        <v>39</v>
      </c>
      <c r="D85" s="452">
        <f>SUM(D86:D98,D99:D102)</f>
        <v>91800</v>
      </c>
      <c r="E85" s="452">
        <f>SUM(E86:E98,E99:E102)</f>
        <v>93820</v>
      </c>
      <c r="F85" s="262">
        <f>SUM(F86:F98)</f>
        <v>59008</v>
      </c>
      <c r="G85" s="451">
        <f>+E85-D85</f>
        <v>2020</v>
      </c>
      <c r="H85" s="450">
        <f>+G85/D85*100</f>
        <v>2.2004357298474946</v>
      </c>
      <c r="I85" s="263"/>
      <c r="J85" s="159"/>
      <c r="K85" s="79"/>
      <c r="L85" s="413"/>
      <c r="M85" s="499" t="s">
        <v>55</v>
      </c>
      <c r="N85" s="499"/>
      <c r="O85" s="499"/>
      <c r="P85" s="159">
        <f>SUM(P86,P90,P93,P99,P101)</f>
        <v>93820000</v>
      </c>
      <c r="Q85" s="113" t="s">
        <v>9</v>
      </c>
    </row>
    <row r="86" spans="1:32" ht="15.95" customHeight="1">
      <c r="A86" s="212"/>
      <c r="B86" s="395" t="s">
        <v>483</v>
      </c>
      <c r="C86" s="598" t="s">
        <v>294</v>
      </c>
      <c r="D86" s="601">
        <v>27800</v>
      </c>
      <c r="E86" s="622">
        <f>+P86/1000</f>
        <v>27800</v>
      </c>
      <c r="F86" s="565">
        <v>896</v>
      </c>
      <c r="G86" s="562">
        <f>+E86-D86</f>
        <v>0</v>
      </c>
      <c r="H86" s="559">
        <f>+G86/D86*100</f>
        <v>0</v>
      </c>
      <c r="I86" s="445"/>
      <c r="J86" s="71"/>
      <c r="K86" s="153"/>
      <c r="L86" s="153"/>
      <c r="M86" s="471" t="s">
        <v>55</v>
      </c>
      <c r="N86" s="471"/>
      <c r="O86" s="471"/>
      <c r="P86" s="58">
        <f>SUM(P87:P89)</f>
        <v>27800000</v>
      </c>
      <c r="Q86" s="59" t="s">
        <v>9</v>
      </c>
    </row>
    <row r="87" spans="1:32" ht="15.95" customHeight="1">
      <c r="A87" s="212"/>
      <c r="B87" s="223"/>
      <c r="C87" s="599"/>
      <c r="D87" s="602"/>
      <c r="E87" s="623"/>
      <c r="F87" s="566"/>
      <c r="G87" s="563"/>
      <c r="H87" s="560"/>
      <c r="I87" s="249" t="s">
        <v>297</v>
      </c>
      <c r="J87" s="21">
        <v>15200000</v>
      </c>
      <c r="K87" s="22" t="s">
        <v>9</v>
      </c>
      <c r="L87" s="23" t="s">
        <v>16</v>
      </c>
      <c r="M87" s="436">
        <v>1</v>
      </c>
      <c r="N87" s="436" t="s">
        <v>12</v>
      </c>
      <c r="O87" s="24" t="s">
        <v>15</v>
      </c>
      <c r="P87" s="21">
        <f>SUM(J87*M87)</f>
        <v>15200000</v>
      </c>
      <c r="Q87" s="12" t="s">
        <v>9</v>
      </c>
    </row>
    <row r="88" spans="1:32" ht="15.95" customHeight="1">
      <c r="A88" s="212"/>
      <c r="B88" s="223"/>
      <c r="C88" s="599"/>
      <c r="D88" s="602"/>
      <c r="E88" s="623"/>
      <c r="F88" s="566"/>
      <c r="G88" s="563"/>
      <c r="H88" s="560"/>
      <c r="I88" s="249" t="s">
        <v>305</v>
      </c>
      <c r="J88" s="21">
        <v>1200000</v>
      </c>
      <c r="K88" s="22" t="s">
        <v>9</v>
      </c>
      <c r="L88" s="23" t="s">
        <v>16</v>
      </c>
      <c r="M88" s="436">
        <v>10</v>
      </c>
      <c r="N88" s="436" t="s">
        <v>40</v>
      </c>
      <c r="O88" s="24" t="s">
        <v>15</v>
      </c>
      <c r="P88" s="21">
        <f>SUM(J88*M88)</f>
        <v>12000000</v>
      </c>
      <c r="Q88" s="12" t="s">
        <v>9</v>
      </c>
    </row>
    <row r="89" spans="1:32" ht="15.95" customHeight="1">
      <c r="A89" s="212"/>
      <c r="B89" s="64"/>
      <c r="C89" s="600"/>
      <c r="D89" s="603"/>
      <c r="E89" s="624"/>
      <c r="F89" s="567"/>
      <c r="G89" s="564">
        <f>+E89-D89</f>
        <v>0</v>
      </c>
      <c r="H89" s="561" t="e">
        <f>+G89/D89*100</f>
        <v>#DIV/0!</v>
      </c>
      <c r="I89" s="225" t="s">
        <v>376</v>
      </c>
      <c r="J89" s="13">
        <v>300000</v>
      </c>
      <c r="K89" s="14" t="s">
        <v>9</v>
      </c>
      <c r="L89" s="15" t="s">
        <v>16</v>
      </c>
      <c r="M89" s="16">
        <v>2</v>
      </c>
      <c r="N89" s="16" t="s">
        <v>23</v>
      </c>
      <c r="O89" s="17" t="s">
        <v>15</v>
      </c>
      <c r="P89" s="13">
        <f>SUM(J89*M89)</f>
        <v>600000</v>
      </c>
      <c r="Q89" s="18" t="s">
        <v>9</v>
      </c>
    </row>
    <row r="90" spans="1:32" ht="15.95" customHeight="1">
      <c r="A90" s="212"/>
      <c r="B90" s="64"/>
      <c r="C90" s="657" t="s">
        <v>391</v>
      </c>
      <c r="D90" s="556">
        <v>13000</v>
      </c>
      <c r="E90" s="543">
        <f>+P90/1000</f>
        <v>13000</v>
      </c>
      <c r="F90" s="546">
        <v>8000</v>
      </c>
      <c r="G90" s="553">
        <f>+E90-D90</f>
        <v>0</v>
      </c>
      <c r="H90" s="549">
        <f>+G90/D90*100</f>
        <v>0</v>
      </c>
      <c r="I90" s="444"/>
      <c r="J90" s="71"/>
      <c r="K90" s="153"/>
      <c r="L90" s="70"/>
      <c r="M90" s="471" t="s">
        <v>55</v>
      </c>
      <c r="N90" s="471"/>
      <c r="O90" s="471"/>
      <c r="P90" s="71">
        <f>SUM(P91:P92)</f>
        <v>13000000</v>
      </c>
      <c r="Q90" s="59" t="s">
        <v>9</v>
      </c>
    </row>
    <row r="91" spans="1:32" ht="15.95" customHeight="1">
      <c r="A91" s="212"/>
      <c r="B91" s="64"/>
      <c r="C91" s="658"/>
      <c r="D91" s="557"/>
      <c r="E91" s="544"/>
      <c r="F91" s="548"/>
      <c r="G91" s="555"/>
      <c r="H91" s="550"/>
      <c r="I91" s="115" t="s">
        <v>458</v>
      </c>
      <c r="J91" s="21">
        <v>6000000</v>
      </c>
      <c r="K91" s="22" t="s">
        <v>459</v>
      </c>
      <c r="L91" s="23" t="s">
        <v>16</v>
      </c>
      <c r="M91" s="436">
        <v>1</v>
      </c>
      <c r="N91" s="436" t="s">
        <v>460</v>
      </c>
      <c r="O91" s="436" t="s">
        <v>461</v>
      </c>
      <c r="P91" s="21">
        <f>J91*M91</f>
        <v>6000000</v>
      </c>
      <c r="Q91" s="12" t="s">
        <v>459</v>
      </c>
    </row>
    <row r="92" spans="1:32" ht="15.95" customHeight="1">
      <c r="A92" s="212"/>
      <c r="B92" s="64"/>
      <c r="C92" s="659"/>
      <c r="D92" s="558"/>
      <c r="E92" s="545"/>
      <c r="F92" s="547"/>
      <c r="G92" s="554"/>
      <c r="H92" s="568"/>
      <c r="I92" s="264" t="s">
        <v>292</v>
      </c>
      <c r="J92" s="13">
        <v>7000000</v>
      </c>
      <c r="K92" s="14" t="s">
        <v>9</v>
      </c>
      <c r="L92" s="15" t="s">
        <v>16</v>
      </c>
      <c r="M92" s="16">
        <v>1</v>
      </c>
      <c r="N92" s="16" t="s">
        <v>47</v>
      </c>
      <c r="O92" s="17" t="s">
        <v>15</v>
      </c>
      <c r="P92" s="13">
        <f>SUM(J92*M92)</f>
        <v>7000000</v>
      </c>
      <c r="Q92" s="18" t="s">
        <v>9</v>
      </c>
    </row>
    <row r="93" spans="1:32" ht="15.95" customHeight="1">
      <c r="A93" s="265" t="s">
        <v>62</v>
      </c>
      <c r="B93" s="266" t="s">
        <v>436</v>
      </c>
      <c r="C93" s="613" t="s">
        <v>378</v>
      </c>
      <c r="D93" s="556">
        <v>50300</v>
      </c>
      <c r="E93" s="543">
        <f>+P93/1000</f>
        <v>52320</v>
      </c>
      <c r="F93" s="546">
        <v>50112</v>
      </c>
      <c r="G93" s="553">
        <f>+E93-D93</f>
        <v>2020</v>
      </c>
      <c r="H93" s="549">
        <f>+G93/D93*100</f>
        <v>4.0159045725646125</v>
      </c>
      <c r="I93" s="444"/>
      <c r="J93" s="71"/>
      <c r="K93" s="153"/>
      <c r="L93" s="70"/>
      <c r="M93" s="471" t="s">
        <v>55</v>
      </c>
      <c r="N93" s="471"/>
      <c r="O93" s="471"/>
      <c r="P93" s="71">
        <f>SUM(P94:P98)</f>
        <v>52320000</v>
      </c>
      <c r="Q93" s="59" t="s">
        <v>9</v>
      </c>
    </row>
    <row r="94" spans="1:32" ht="15.95" customHeight="1">
      <c r="A94" s="265"/>
      <c r="B94" s="266" t="s">
        <v>78</v>
      </c>
      <c r="C94" s="615"/>
      <c r="D94" s="557"/>
      <c r="E94" s="544"/>
      <c r="F94" s="548"/>
      <c r="G94" s="555">
        <f>+E94-D94</f>
        <v>0</v>
      </c>
      <c r="H94" s="550" t="e">
        <f>+G94/D94*100</f>
        <v>#DIV/0!</v>
      </c>
      <c r="I94" s="19" t="s">
        <v>293</v>
      </c>
      <c r="J94" s="21">
        <v>49320000</v>
      </c>
      <c r="K94" s="22" t="s">
        <v>9</v>
      </c>
      <c r="L94" s="23" t="s">
        <v>16</v>
      </c>
      <c r="M94" s="436">
        <v>1</v>
      </c>
      <c r="N94" s="436" t="s">
        <v>23</v>
      </c>
      <c r="O94" s="436" t="s">
        <v>15</v>
      </c>
      <c r="P94" s="21">
        <f>J94*M94</f>
        <v>49320000</v>
      </c>
      <c r="Q94" s="12" t="s">
        <v>9</v>
      </c>
    </row>
    <row r="95" spans="1:32" ht="15.95" customHeight="1">
      <c r="A95" s="212"/>
      <c r="B95" s="64"/>
      <c r="C95" s="615"/>
      <c r="D95" s="557"/>
      <c r="E95" s="544"/>
      <c r="F95" s="548"/>
      <c r="G95" s="555"/>
      <c r="H95" s="550"/>
      <c r="I95" s="19" t="s">
        <v>320</v>
      </c>
      <c r="J95" s="21">
        <v>300000</v>
      </c>
      <c r="K95" s="22" t="s">
        <v>9</v>
      </c>
      <c r="L95" s="23" t="s">
        <v>16</v>
      </c>
      <c r="M95" s="436">
        <v>4</v>
      </c>
      <c r="N95" s="436" t="s">
        <v>47</v>
      </c>
      <c r="O95" s="436" t="s">
        <v>15</v>
      </c>
      <c r="P95" s="21">
        <f>J95*M95</f>
        <v>1200000</v>
      </c>
      <c r="Q95" s="12" t="s">
        <v>9</v>
      </c>
    </row>
    <row r="96" spans="1:32" ht="15.95" customHeight="1">
      <c r="A96" s="212"/>
      <c r="B96" s="64"/>
      <c r="C96" s="615"/>
      <c r="D96" s="557"/>
      <c r="E96" s="544"/>
      <c r="F96" s="548"/>
      <c r="G96" s="555"/>
      <c r="H96" s="550"/>
      <c r="I96" s="19" t="s">
        <v>308</v>
      </c>
      <c r="J96" s="21">
        <v>600000</v>
      </c>
      <c r="K96" s="22" t="s">
        <v>9</v>
      </c>
      <c r="L96" s="23" t="s">
        <v>16</v>
      </c>
      <c r="M96" s="436">
        <v>1</v>
      </c>
      <c r="N96" s="436" t="s">
        <v>23</v>
      </c>
      <c r="O96" s="436" t="s">
        <v>15</v>
      </c>
      <c r="P96" s="21">
        <f>J96*M96</f>
        <v>600000</v>
      </c>
      <c r="Q96" s="12" t="s">
        <v>9</v>
      </c>
    </row>
    <row r="97" spans="1:17" ht="15.95" customHeight="1">
      <c r="A97" s="212"/>
      <c r="B97" s="64"/>
      <c r="C97" s="615"/>
      <c r="D97" s="557"/>
      <c r="E97" s="544"/>
      <c r="F97" s="548"/>
      <c r="G97" s="555"/>
      <c r="H97" s="550"/>
      <c r="I97" s="19" t="s">
        <v>289</v>
      </c>
      <c r="J97" s="21">
        <v>700000</v>
      </c>
      <c r="K97" s="22" t="s">
        <v>9</v>
      </c>
      <c r="L97" s="23" t="s">
        <v>16</v>
      </c>
      <c r="M97" s="436">
        <v>1</v>
      </c>
      <c r="N97" s="436" t="s">
        <v>12</v>
      </c>
      <c r="O97" s="436" t="s">
        <v>15</v>
      </c>
      <c r="P97" s="21">
        <f>J97*M97</f>
        <v>700000</v>
      </c>
      <c r="Q97" s="12" t="s">
        <v>9</v>
      </c>
    </row>
    <row r="98" spans="1:17" ht="15.95" customHeight="1">
      <c r="A98" s="212"/>
      <c r="B98" s="64"/>
      <c r="C98" s="616"/>
      <c r="D98" s="558"/>
      <c r="E98" s="545"/>
      <c r="F98" s="547"/>
      <c r="G98" s="554">
        <f>+E98-D98</f>
        <v>0</v>
      </c>
      <c r="H98" s="568" t="e">
        <f>+G98/D98*100</f>
        <v>#DIV/0!</v>
      </c>
      <c r="I98" s="20" t="s">
        <v>301</v>
      </c>
      <c r="J98" s="13">
        <v>500000</v>
      </c>
      <c r="K98" s="14" t="s">
        <v>9</v>
      </c>
      <c r="L98" s="15" t="s">
        <v>38</v>
      </c>
      <c r="M98" s="16">
        <v>1</v>
      </c>
      <c r="N98" s="16" t="s">
        <v>23</v>
      </c>
      <c r="O98" s="17" t="s">
        <v>15</v>
      </c>
      <c r="P98" s="13">
        <f>SUM(J98*M98)</f>
        <v>500000</v>
      </c>
      <c r="Q98" s="18" t="s">
        <v>9</v>
      </c>
    </row>
    <row r="99" spans="1:17" ht="15.95" customHeight="1">
      <c r="A99" s="265"/>
      <c r="B99" s="223"/>
      <c r="C99" s="613" t="s">
        <v>388</v>
      </c>
      <c r="D99" s="556">
        <v>500</v>
      </c>
      <c r="E99" s="543">
        <f>P99/1000</f>
        <v>500</v>
      </c>
      <c r="F99" s="428"/>
      <c r="G99" s="553">
        <f>E99-D99</f>
        <v>0</v>
      </c>
      <c r="H99" s="549">
        <f>G99/D99*100</f>
        <v>0</v>
      </c>
      <c r="I99" s="133"/>
      <c r="J99" s="87"/>
      <c r="K99" s="121"/>
      <c r="L99" s="89"/>
      <c r="M99" s="484" t="s">
        <v>55</v>
      </c>
      <c r="N99" s="484"/>
      <c r="O99" s="484"/>
      <c r="P99" s="87">
        <f>SUM(P100:P100)</f>
        <v>500000</v>
      </c>
      <c r="Q99" s="91" t="s">
        <v>9</v>
      </c>
    </row>
    <row r="100" spans="1:17" ht="15.95" customHeight="1">
      <c r="A100" s="265"/>
      <c r="B100" s="399"/>
      <c r="C100" s="594"/>
      <c r="D100" s="557"/>
      <c r="E100" s="544"/>
      <c r="F100" s="428"/>
      <c r="G100" s="555"/>
      <c r="H100" s="550"/>
      <c r="I100" s="267" t="s">
        <v>372</v>
      </c>
      <c r="J100" s="21">
        <v>100000</v>
      </c>
      <c r="K100" s="22" t="s">
        <v>9</v>
      </c>
      <c r="L100" s="23" t="s">
        <v>16</v>
      </c>
      <c r="M100" s="436">
        <v>5</v>
      </c>
      <c r="N100" s="436" t="s">
        <v>445</v>
      </c>
      <c r="O100" s="436" t="s">
        <v>15</v>
      </c>
      <c r="P100" s="21">
        <f>J100*M100</f>
        <v>500000</v>
      </c>
      <c r="Q100" s="12" t="s">
        <v>9</v>
      </c>
    </row>
    <row r="101" spans="1:17" ht="15.95" customHeight="1">
      <c r="A101" s="212"/>
      <c r="B101" s="64"/>
      <c r="C101" s="593" t="s">
        <v>177</v>
      </c>
      <c r="D101" s="556">
        <v>200</v>
      </c>
      <c r="E101" s="543">
        <f>P101/1000</f>
        <v>200</v>
      </c>
      <c r="F101" s="428"/>
      <c r="G101" s="553">
        <f>E101-D101</f>
        <v>0</v>
      </c>
      <c r="H101" s="638">
        <f>G101/D101*100</f>
        <v>0</v>
      </c>
      <c r="I101" s="445"/>
      <c r="J101" s="63"/>
      <c r="K101" s="153"/>
      <c r="L101" s="70"/>
      <c r="M101" s="471" t="s">
        <v>55</v>
      </c>
      <c r="N101" s="471"/>
      <c r="O101" s="471"/>
      <c r="P101" s="63">
        <f>SUM(P102:P102)</f>
        <v>200000</v>
      </c>
      <c r="Q101" s="59" t="s">
        <v>9</v>
      </c>
    </row>
    <row r="102" spans="1:17" ht="15.95" customHeight="1">
      <c r="A102" s="212"/>
      <c r="B102" s="93"/>
      <c r="C102" s="595"/>
      <c r="D102" s="558"/>
      <c r="E102" s="545"/>
      <c r="F102" s="428"/>
      <c r="G102" s="554"/>
      <c r="H102" s="638"/>
      <c r="I102" s="248" t="s">
        <v>177</v>
      </c>
      <c r="J102" s="13">
        <v>50000</v>
      </c>
      <c r="K102" s="14" t="s">
        <v>9</v>
      </c>
      <c r="L102" s="15" t="s">
        <v>16</v>
      </c>
      <c r="M102" s="16">
        <v>4</v>
      </c>
      <c r="N102" s="16" t="s">
        <v>23</v>
      </c>
      <c r="O102" s="16" t="s">
        <v>15</v>
      </c>
      <c r="P102" s="13">
        <f>SUM(J102*M102)</f>
        <v>200000</v>
      </c>
      <c r="Q102" s="18" t="s">
        <v>9</v>
      </c>
    </row>
    <row r="103" spans="1:17" ht="20.100000000000001" customHeight="1">
      <c r="A103" s="265"/>
      <c r="B103" s="369" t="s">
        <v>240</v>
      </c>
      <c r="C103" s="268" t="s">
        <v>88</v>
      </c>
      <c r="D103" s="269">
        <f>SUM(D104:D118)</f>
        <v>107100</v>
      </c>
      <c r="E103" s="270">
        <f>P103/1000</f>
        <v>108100</v>
      </c>
      <c r="F103" s="271">
        <f>SUM(F104:F121)</f>
        <v>161152</v>
      </c>
      <c r="G103" s="424">
        <f>+E103-D103</f>
        <v>1000</v>
      </c>
      <c r="H103" s="450">
        <f>+G103/D103*100</f>
        <v>0.93370681605975725</v>
      </c>
      <c r="I103" s="272"/>
      <c r="J103" s="159"/>
      <c r="K103" s="79"/>
      <c r="L103" s="79"/>
      <c r="M103" s="499"/>
      <c r="N103" s="499"/>
      <c r="O103" s="499"/>
      <c r="P103" s="112">
        <f>SUM(P104,P107,P110,P114,P117)</f>
        <v>108100000</v>
      </c>
      <c r="Q103" s="113" t="s">
        <v>9</v>
      </c>
    </row>
    <row r="104" spans="1:17" ht="15.75" customHeight="1">
      <c r="A104" s="212"/>
      <c r="B104" s="399"/>
      <c r="C104" s="593" t="s">
        <v>191</v>
      </c>
      <c r="D104" s="556">
        <v>31220</v>
      </c>
      <c r="E104" s="543">
        <f>+P104/1000</f>
        <v>31220</v>
      </c>
      <c r="F104" s="546">
        <v>96000</v>
      </c>
      <c r="G104" s="553">
        <f>+E104-D104</f>
        <v>0</v>
      </c>
      <c r="H104" s="549">
        <f>+G104/D104*100</f>
        <v>0</v>
      </c>
      <c r="I104" s="445"/>
      <c r="J104" s="71"/>
      <c r="K104" s="153"/>
      <c r="L104" s="70"/>
      <c r="M104" s="471" t="s">
        <v>55</v>
      </c>
      <c r="N104" s="471"/>
      <c r="O104" s="471"/>
      <c r="P104" s="58">
        <f>SUM(P105:P106)</f>
        <v>31220000</v>
      </c>
      <c r="Q104" s="59" t="s">
        <v>9</v>
      </c>
    </row>
    <row r="105" spans="1:17" ht="15.75" customHeight="1">
      <c r="A105" s="212"/>
      <c r="B105" s="64"/>
      <c r="C105" s="594"/>
      <c r="D105" s="557"/>
      <c r="E105" s="544"/>
      <c r="F105" s="548"/>
      <c r="G105" s="555"/>
      <c r="H105" s="550"/>
      <c r="I105" s="115" t="s">
        <v>317</v>
      </c>
      <c r="J105" s="21">
        <v>10000</v>
      </c>
      <c r="K105" s="22" t="s">
        <v>9</v>
      </c>
      <c r="L105" s="23" t="s">
        <v>16</v>
      </c>
      <c r="M105" s="436">
        <v>2</v>
      </c>
      <c r="N105" s="436" t="s">
        <v>23</v>
      </c>
      <c r="O105" s="436" t="s">
        <v>15</v>
      </c>
      <c r="P105" s="84">
        <v>20000</v>
      </c>
      <c r="Q105" s="12" t="s">
        <v>9</v>
      </c>
    </row>
    <row r="106" spans="1:17" ht="15.75" customHeight="1">
      <c r="A106" s="212"/>
      <c r="B106" s="64"/>
      <c r="C106" s="595"/>
      <c r="D106" s="558"/>
      <c r="E106" s="545"/>
      <c r="F106" s="547"/>
      <c r="G106" s="554"/>
      <c r="H106" s="568"/>
      <c r="I106" s="388" t="s">
        <v>142</v>
      </c>
      <c r="J106" s="101">
        <v>7800000</v>
      </c>
      <c r="K106" s="273" t="s">
        <v>9</v>
      </c>
      <c r="L106" s="99" t="s">
        <v>16</v>
      </c>
      <c r="M106" s="98">
        <v>4</v>
      </c>
      <c r="N106" s="98" t="s">
        <v>23</v>
      </c>
      <c r="O106" s="100" t="s">
        <v>15</v>
      </c>
      <c r="P106" s="101">
        <f>SUM(J106*M106)</f>
        <v>31200000</v>
      </c>
      <c r="Q106" s="102" t="s">
        <v>9</v>
      </c>
    </row>
    <row r="107" spans="1:17" ht="15.75" customHeight="1">
      <c r="A107" s="212"/>
      <c r="B107" s="64"/>
      <c r="C107" s="621" t="s">
        <v>86</v>
      </c>
      <c r="D107" s="606">
        <v>16820</v>
      </c>
      <c r="E107" s="642">
        <f>+P107/1000</f>
        <v>16820</v>
      </c>
      <c r="F107" s="582">
        <v>11052</v>
      </c>
      <c r="G107" s="635">
        <f>+E107-D107</f>
        <v>0</v>
      </c>
      <c r="H107" s="638">
        <f>+G107/D107*100</f>
        <v>0</v>
      </c>
      <c r="I107" s="444"/>
      <c r="J107" s="71"/>
      <c r="K107" s="153"/>
      <c r="L107" s="70"/>
      <c r="M107" s="471" t="s">
        <v>55</v>
      </c>
      <c r="N107" s="471"/>
      <c r="O107" s="471"/>
      <c r="P107" s="71">
        <f>SUM(P108:P109)</f>
        <v>16820000</v>
      </c>
      <c r="Q107" s="59" t="s">
        <v>9</v>
      </c>
    </row>
    <row r="108" spans="1:17" ht="15.75" customHeight="1">
      <c r="A108" s="212"/>
      <c r="B108" s="64"/>
      <c r="C108" s="621"/>
      <c r="D108" s="606"/>
      <c r="E108" s="642"/>
      <c r="F108" s="582"/>
      <c r="G108" s="635">
        <f>+E108-D108</f>
        <v>0</v>
      </c>
      <c r="H108" s="638" t="e">
        <f>+G108/D108*100</f>
        <v>#DIV/0!</v>
      </c>
      <c r="I108" s="19" t="s">
        <v>317</v>
      </c>
      <c r="J108" s="21">
        <v>10000</v>
      </c>
      <c r="K108" s="22" t="s">
        <v>9</v>
      </c>
      <c r="L108" s="23" t="s">
        <v>38</v>
      </c>
      <c r="M108" s="436">
        <v>2</v>
      </c>
      <c r="N108" s="436" t="s">
        <v>23</v>
      </c>
      <c r="O108" s="436" t="s">
        <v>15</v>
      </c>
      <c r="P108" s="21">
        <f>SUM(J108*M108)</f>
        <v>20000</v>
      </c>
      <c r="Q108" s="12" t="s">
        <v>9</v>
      </c>
    </row>
    <row r="109" spans="1:17" ht="15.75" customHeight="1">
      <c r="A109" s="212"/>
      <c r="B109" s="64"/>
      <c r="C109" s="621"/>
      <c r="D109" s="606"/>
      <c r="E109" s="642"/>
      <c r="F109" s="582"/>
      <c r="G109" s="635"/>
      <c r="H109" s="638"/>
      <c r="I109" s="19" t="s">
        <v>374</v>
      </c>
      <c r="J109" s="21">
        <v>1400000</v>
      </c>
      <c r="K109" s="22" t="s">
        <v>9</v>
      </c>
      <c r="L109" s="23" t="s">
        <v>16</v>
      </c>
      <c r="M109" s="436">
        <v>12</v>
      </c>
      <c r="N109" s="436" t="s">
        <v>23</v>
      </c>
      <c r="O109" s="436" t="s">
        <v>15</v>
      </c>
      <c r="P109" s="21">
        <f>SUM(J109*M109)</f>
        <v>16800000</v>
      </c>
      <c r="Q109" s="12" t="s">
        <v>9</v>
      </c>
    </row>
    <row r="110" spans="1:17" ht="15.95" customHeight="1">
      <c r="A110" s="265"/>
      <c r="B110" s="399"/>
      <c r="C110" s="593" t="s">
        <v>121</v>
      </c>
      <c r="D110" s="556">
        <v>23020</v>
      </c>
      <c r="E110" s="543">
        <f>+P110/1000</f>
        <v>24020</v>
      </c>
      <c r="F110" s="582">
        <v>20000</v>
      </c>
      <c r="G110" s="553">
        <f>+E110-D110</f>
        <v>1000</v>
      </c>
      <c r="H110" s="551">
        <f>+G110/D110*100</f>
        <v>4.3440486533449176</v>
      </c>
      <c r="I110" s="444"/>
      <c r="J110" s="71"/>
      <c r="K110" s="153"/>
      <c r="L110" s="70"/>
      <c r="M110" s="471" t="s">
        <v>55</v>
      </c>
      <c r="N110" s="471"/>
      <c r="O110" s="471"/>
      <c r="P110" s="71">
        <f>SUM(P111:P113)</f>
        <v>24020000</v>
      </c>
      <c r="Q110" s="59" t="s">
        <v>9</v>
      </c>
    </row>
    <row r="111" spans="1:17" ht="15.95" customHeight="1">
      <c r="A111" s="212"/>
      <c r="B111" s="399"/>
      <c r="C111" s="594"/>
      <c r="D111" s="557"/>
      <c r="E111" s="544"/>
      <c r="F111" s="582"/>
      <c r="G111" s="555"/>
      <c r="H111" s="636"/>
      <c r="I111" s="19" t="s">
        <v>139</v>
      </c>
      <c r="J111" s="21">
        <v>10000</v>
      </c>
      <c r="K111" s="22" t="s">
        <v>9</v>
      </c>
      <c r="L111" s="23" t="s">
        <v>16</v>
      </c>
      <c r="M111" s="436">
        <v>2</v>
      </c>
      <c r="N111" s="436" t="s">
        <v>23</v>
      </c>
      <c r="O111" s="24" t="s">
        <v>15</v>
      </c>
      <c r="P111" s="21">
        <f>SUM(J111*M111)</f>
        <v>20000</v>
      </c>
      <c r="Q111" s="12" t="s">
        <v>9</v>
      </c>
    </row>
    <row r="112" spans="1:17" ht="15.95" customHeight="1">
      <c r="A112" s="212"/>
      <c r="B112" s="274"/>
      <c r="C112" s="594"/>
      <c r="D112" s="557"/>
      <c r="E112" s="544"/>
      <c r="F112" s="582"/>
      <c r="G112" s="555"/>
      <c r="H112" s="636"/>
      <c r="I112" s="19" t="s">
        <v>103</v>
      </c>
      <c r="J112" s="21">
        <v>4500000</v>
      </c>
      <c r="K112" s="22" t="s">
        <v>9</v>
      </c>
      <c r="L112" s="23" t="s">
        <v>16</v>
      </c>
      <c r="M112" s="436">
        <v>2</v>
      </c>
      <c r="N112" s="436" t="s">
        <v>23</v>
      </c>
      <c r="O112" s="24" t="s">
        <v>15</v>
      </c>
      <c r="P112" s="21">
        <f>SUM(J112*M112)</f>
        <v>9000000</v>
      </c>
      <c r="Q112" s="12" t="s">
        <v>9</v>
      </c>
    </row>
    <row r="113" spans="1:17" ht="15.95" customHeight="1">
      <c r="A113" s="212"/>
      <c r="B113" s="274"/>
      <c r="C113" s="595"/>
      <c r="D113" s="558"/>
      <c r="E113" s="545"/>
      <c r="F113" s="427"/>
      <c r="G113" s="554"/>
      <c r="H113" s="552"/>
      <c r="I113" s="19" t="s">
        <v>96</v>
      </c>
      <c r="J113" s="21">
        <v>7500000</v>
      </c>
      <c r="K113" s="22" t="s">
        <v>9</v>
      </c>
      <c r="L113" s="23" t="s">
        <v>16</v>
      </c>
      <c r="M113" s="436">
        <v>2</v>
      </c>
      <c r="N113" s="436" t="s">
        <v>23</v>
      </c>
      <c r="O113" s="24" t="s">
        <v>15</v>
      </c>
      <c r="P113" s="21">
        <f>SUM(J113*M113)</f>
        <v>15000000</v>
      </c>
      <c r="Q113" s="12" t="s">
        <v>9</v>
      </c>
    </row>
    <row r="114" spans="1:17" ht="15.95" customHeight="1">
      <c r="A114" s="212"/>
      <c r="B114" s="274"/>
      <c r="C114" s="593" t="s">
        <v>102</v>
      </c>
      <c r="D114" s="556">
        <v>24020</v>
      </c>
      <c r="E114" s="543">
        <f>+P114/1000</f>
        <v>24020</v>
      </c>
      <c r="F114" s="427"/>
      <c r="G114" s="553">
        <f>+E114-D114</f>
        <v>0</v>
      </c>
      <c r="H114" s="650">
        <f>+G114/D114*100</f>
        <v>0</v>
      </c>
      <c r="I114" s="444"/>
      <c r="J114" s="71"/>
      <c r="K114" s="153"/>
      <c r="L114" s="70"/>
      <c r="M114" s="471" t="s">
        <v>55</v>
      </c>
      <c r="N114" s="471"/>
      <c r="O114" s="471"/>
      <c r="P114" s="71">
        <f>SUM(P115:P116)</f>
        <v>24020000</v>
      </c>
      <c r="Q114" s="59" t="s">
        <v>9</v>
      </c>
    </row>
    <row r="115" spans="1:17" ht="15.95" customHeight="1">
      <c r="A115" s="212"/>
      <c r="B115" s="64"/>
      <c r="C115" s="594"/>
      <c r="D115" s="557"/>
      <c r="E115" s="544"/>
      <c r="F115" s="275">
        <v>16000</v>
      </c>
      <c r="G115" s="555"/>
      <c r="H115" s="651"/>
      <c r="I115" s="19" t="s">
        <v>139</v>
      </c>
      <c r="J115" s="21">
        <v>10000</v>
      </c>
      <c r="K115" s="22" t="s">
        <v>9</v>
      </c>
      <c r="L115" s="23" t="s">
        <v>16</v>
      </c>
      <c r="M115" s="436">
        <v>2</v>
      </c>
      <c r="N115" s="436" t="s">
        <v>23</v>
      </c>
      <c r="O115" s="24" t="s">
        <v>15</v>
      </c>
      <c r="P115" s="21">
        <f>SUM(J115*M115)</f>
        <v>20000</v>
      </c>
      <c r="Q115" s="12" t="s">
        <v>9</v>
      </c>
    </row>
    <row r="116" spans="1:17" ht="15.95" customHeight="1">
      <c r="A116" s="212"/>
      <c r="B116" s="64"/>
      <c r="C116" s="595"/>
      <c r="D116" s="558"/>
      <c r="E116" s="545"/>
      <c r="F116" s="271"/>
      <c r="G116" s="554"/>
      <c r="H116" s="652"/>
      <c r="I116" s="248" t="s">
        <v>103</v>
      </c>
      <c r="J116" s="389">
        <v>6000000</v>
      </c>
      <c r="K116" s="14" t="s">
        <v>9</v>
      </c>
      <c r="L116" s="15" t="s">
        <v>16</v>
      </c>
      <c r="M116" s="16">
        <v>4</v>
      </c>
      <c r="N116" s="16" t="s">
        <v>23</v>
      </c>
      <c r="O116" s="17" t="s">
        <v>15</v>
      </c>
      <c r="P116" s="389">
        <f>SUM(J116*M116)</f>
        <v>24000000</v>
      </c>
      <c r="Q116" s="18" t="s">
        <v>9</v>
      </c>
    </row>
    <row r="117" spans="1:17" ht="15.95" customHeight="1">
      <c r="A117" s="212"/>
      <c r="B117" s="64"/>
      <c r="C117" s="596" t="s">
        <v>132</v>
      </c>
      <c r="D117" s="556">
        <v>12020</v>
      </c>
      <c r="E117" s="543">
        <f>+P117/1000</f>
        <v>12020</v>
      </c>
      <c r="F117" s="546">
        <v>18100</v>
      </c>
      <c r="G117" s="553">
        <f>+E117-D117</f>
        <v>0</v>
      </c>
      <c r="H117" s="549">
        <f>+G117/D117*100</f>
        <v>0</v>
      </c>
      <c r="I117" s="445"/>
      <c r="J117" s="71"/>
      <c r="K117" s="153"/>
      <c r="L117" s="70"/>
      <c r="M117" s="471" t="s">
        <v>55</v>
      </c>
      <c r="N117" s="471"/>
      <c r="O117" s="471"/>
      <c r="P117" s="71">
        <f>SUM(P118:P119)</f>
        <v>12020000</v>
      </c>
      <c r="Q117" s="59" t="s">
        <v>9</v>
      </c>
    </row>
    <row r="118" spans="1:17" ht="15.95" customHeight="1">
      <c r="A118" s="212"/>
      <c r="B118" s="64"/>
      <c r="C118" s="592"/>
      <c r="D118" s="557"/>
      <c r="E118" s="544"/>
      <c r="F118" s="548"/>
      <c r="G118" s="555">
        <f>+E118-D118</f>
        <v>0</v>
      </c>
      <c r="H118" s="550" t="e">
        <f>+G118/D118*100</f>
        <v>#DIV/0!</v>
      </c>
      <c r="I118" s="115" t="s">
        <v>139</v>
      </c>
      <c r="J118" s="21">
        <v>10000</v>
      </c>
      <c r="K118" s="22" t="s">
        <v>9</v>
      </c>
      <c r="L118" s="23" t="s">
        <v>16</v>
      </c>
      <c r="M118" s="436">
        <v>2</v>
      </c>
      <c r="N118" s="436" t="s">
        <v>23</v>
      </c>
      <c r="O118" s="24" t="s">
        <v>15</v>
      </c>
      <c r="P118" s="21">
        <f>SUM(J118*M118)</f>
        <v>20000</v>
      </c>
      <c r="Q118" s="12" t="s">
        <v>9</v>
      </c>
    </row>
    <row r="119" spans="1:17" ht="15.95" customHeight="1">
      <c r="A119" s="212"/>
      <c r="B119" s="93"/>
      <c r="C119" s="597"/>
      <c r="D119" s="558"/>
      <c r="E119" s="545"/>
      <c r="F119" s="547"/>
      <c r="G119" s="554">
        <f>+E119-D119</f>
        <v>0</v>
      </c>
      <c r="H119" s="568" t="e">
        <f>+G119/D119*100</f>
        <v>#DIV/0!</v>
      </c>
      <c r="I119" s="225" t="s">
        <v>142</v>
      </c>
      <c r="J119" s="13">
        <v>3000000</v>
      </c>
      <c r="K119" s="14" t="s">
        <v>9</v>
      </c>
      <c r="L119" s="15" t="s">
        <v>16</v>
      </c>
      <c r="M119" s="16">
        <v>4</v>
      </c>
      <c r="N119" s="16" t="s">
        <v>23</v>
      </c>
      <c r="O119" s="17" t="s">
        <v>15</v>
      </c>
      <c r="P119" s="13">
        <f>SUM(J119*M119)</f>
        <v>12000000</v>
      </c>
      <c r="Q119" s="18" t="s">
        <v>9</v>
      </c>
    </row>
    <row r="120" spans="1:17" ht="20.100000000000001" customHeight="1">
      <c r="A120" s="265" t="s">
        <v>62</v>
      </c>
      <c r="B120" s="282" t="s">
        <v>475</v>
      </c>
      <c r="C120" s="441" t="s">
        <v>39</v>
      </c>
      <c r="D120" s="443">
        <f>SUM(D121:D147)</f>
        <v>268262</v>
      </c>
      <c r="E120" s="443">
        <f>P120/1000</f>
        <v>257761.99994000001</v>
      </c>
      <c r="F120" s="429"/>
      <c r="G120" s="432">
        <f>E120-D120</f>
        <v>-10500.000059999991</v>
      </c>
      <c r="H120" s="276">
        <f>G120/D120*100</f>
        <v>-3.914084014880971</v>
      </c>
      <c r="I120" s="115"/>
      <c r="J120" s="21"/>
      <c r="K120" s="22"/>
      <c r="L120" s="23"/>
      <c r="M120" s="499"/>
      <c r="N120" s="499"/>
      <c r="O120" s="499"/>
      <c r="P120" s="21">
        <f>SUM(P121,P125,P130,P132,P137,P139,P141,P144)</f>
        <v>257761999.94</v>
      </c>
      <c r="Q120" s="18" t="s">
        <v>9</v>
      </c>
    </row>
    <row r="121" spans="1:17" ht="15.95" customHeight="1">
      <c r="A121" s="212"/>
      <c r="B121" s="266" t="s">
        <v>476</v>
      </c>
      <c r="C121" s="613" t="s">
        <v>438</v>
      </c>
      <c r="D121" s="556">
        <v>300</v>
      </c>
      <c r="E121" s="543">
        <f>+P121/1000</f>
        <v>0</v>
      </c>
      <c r="F121" s="546">
        <v>0</v>
      </c>
      <c r="G121" s="553">
        <f>+E121-D121</f>
        <v>-300</v>
      </c>
      <c r="H121" s="549">
        <f>G121/D121*100</f>
        <v>-100</v>
      </c>
      <c r="I121" s="445"/>
      <c r="J121" s="71"/>
      <c r="K121" s="153"/>
      <c r="L121" s="70"/>
      <c r="M121" s="471" t="s">
        <v>55</v>
      </c>
      <c r="N121" s="471"/>
      <c r="O121" s="471"/>
      <c r="P121" s="71">
        <f>SUM(P122)</f>
        <v>0</v>
      </c>
      <c r="Q121" s="59" t="s">
        <v>9</v>
      </c>
    </row>
    <row r="122" spans="1:17" ht="15.95" customHeight="1">
      <c r="A122" s="212"/>
      <c r="B122" s="223"/>
      <c r="C122" s="594"/>
      <c r="D122" s="557"/>
      <c r="E122" s="544"/>
      <c r="F122" s="548"/>
      <c r="G122" s="555"/>
      <c r="H122" s="550"/>
      <c r="I122" s="249" t="s">
        <v>313</v>
      </c>
      <c r="J122" s="21"/>
      <c r="K122" s="22"/>
      <c r="L122" s="23"/>
      <c r="M122" s="436"/>
      <c r="N122" s="436"/>
      <c r="O122" s="24"/>
      <c r="P122" s="21">
        <f>SUM(P123:P124)</f>
        <v>0</v>
      </c>
      <c r="Q122" s="12" t="s">
        <v>9</v>
      </c>
    </row>
    <row r="123" spans="1:17" ht="15.95" customHeight="1">
      <c r="A123" s="212"/>
      <c r="B123" s="223"/>
      <c r="C123" s="594"/>
      <c r="D123" s="557"/>
      <c r="E123" s="544"/>
      <c r="F123" s="548"/>
      <c r="G123" s="555"/>
      <c r="H123" s="550"/>
      <c r="I123" s="115" t="s">
        <v>304</v>
      </c>
      <c r="J123" s="21">
        <v>0</v>
      </c>
      <c r="K123" s="22" t="s">
        <v>9</v>
      </c>
      <c r="L123" s="23" t="s">
        <v>16</v>
      </c>
      <c r="M123" s="436">
        <v>1</v>
      </c>
      <c r="N123" s="436" t="s">
        <v>23</v>
      </c>
      <c r="O123" s="24" t="s">
        <v>15</v>
      </c>
      <c r="P123" s="21">
        <f>SUM(J123*M123)</f>
        <v>0</v>
      </c>
      <c r="Q123" s="12" t="s">
        <v>9</v>
      </c>
    </row>
    <row r="124" spans="1:17" ht="15.95" customHeight="1">
      <c r="A124" s="212"/>
      <c r="B124" s="223"/>
      <c r="C124" s="594"/>
      <c r="D124" s="557"/>
      <c r="E124" s="544"/>
      <c r="F124" s="548"/>
      <c r="G124" s="555"/>
      <c r="H124" s="550"/>
      <c r="I124" s="115" t="s">
        <v>309</v>
      </c>
      <c r="J124" s="21">
        <v>0</v>
      </c>
      <c r="K124" s="22" t="s">
        <v>9</v>
      </c>
      <c r="L124" s="23" t="s">
        <v>16</v>
      </c>
      <c r="M124" s="436">
        <v>1</v>
      </c>
      <c r="N124" s="436" t="s">
        <v>23</v>
      </c>
      <c r="O124" s="24" t="s">
        <v>15</v>
      </c>
      <c r="P124" s="21">
        <f>SUM(J124*M124)</f>
        <v>0</v>
      </c>
      <c r="Q124" s="12" t="s">
        <v>9</v>
      </c>
    </row>
    <row r="125" spans="1:17" ht="15.95" customHeight="1">
      <c r="A125" s="212"/>
      <c r="B125" s="277"/>
      <c r="C125" s="593" t="s">
        <v>408</v>
      </c>
      <c r="D125" s="556">
        <v>18500</v>
      </c>
      <c r="E125" s="543">
        <f>P125/1000</f>
        <v>18500</v>
      </c>
      <c r="F125" s="427"/>
      <c r="G125" s="553">
        <f>E125-D125</f>
        <v>0</v>
      </c>
      <c r="H125" s="549">
        <f>G125/D125*100</f>
        <v>0</v>
      </c>
      <c r="I125" s="445"/>
      <c r="J125" s="71"/>
      <c r="K125" s="153"/>
      <c r="L125" s="70"/>
      <c r="M125" s="471" t="s">
        <v>409</v>
      </c>
      <c r="N125" s="471"/>
      <c r="O125" s="471"/>
      <c r="P125" s="71">
        <f>SUM(P126:P129)</f>
        <v>18500000</v>
      </c>
      <c r="Q125" s="59" t="s">
        <v>9</v>
      </c>
    </row>
    <row r="126" spans="1:17" ht="15.95" customHeight="1">
      <c r="A126" s="212"/>
      <c r="B126" s="277"/>
      <c r="C126" s="594"/>
      <c r="D126" s="557"/>
      <c r="E126" s="544"/>
      <c r="F126" s="429"/>
      <c r="G126" s="555"/>
      <c r="H126" s="550"/>
      <c r="I126" s="115" t="s">
        <v>410</v>
      </c>
      <c r="J126" s="21">
        <v>3000000</v>
      </c>
      <c r="K126" s="22" t="s">
        <v>9</v>
      </c>
      <c r="L126" s="23" t="s">
        <v>16</v>
      </c>
      <c r="M126" s="436">
        <v>1</v>
      </c>
      <c r="N126" s="436" t="s">
        <v>23</v>
      </c>
      <c r="O126" s="24" t="s">
        <v>15</v>
      </c>
      <c r="P126" s="21">
        <f>SUM(J126*M126)</f>
        <v>3000000</v>
      </c>
      <c r="Q126" s="12" t="s">
        <v>9</v>
      </c>
    </row>
    <row r="127" spans="1:17" ht="15.95" customHeight="1">
      <c r="A127" s="212"/>
      <c r="B127" s="277"/>
      <c r="C127" s="594"/>
      <c r="D127" s="557"/>
      <c r="E127" s="544"/>
      <c r="F127" s="429"/>
      <c r="G127" s="555"/>
      <c r="H127" s="550"/>
      <c r="I127" s="115" t="s">
        <v>411</v>
      </c>
      <c r="J127" s="21">
        <v>7000000</v>
      </c>
      <c r="K127" s="22" t="s">
        <v>9</v>
      </c>
      <c r="L127" s="23" t="s">
        <v>16</v>
      </c>
      <c r="M127" s="436">
        <v>2</v>
      </c>
      <c r="N127" s="436" t="s">
        <v>23</v>
      </c>
      <c r="O127" s="24" t="s">
        <v>15</v>
      </c>
      <c r="P127" s="21">
        <f t="shared" ref="P127:P129" si="6">SUM(J127*M127)</f>
        <v>14000000</v>
      </c>
      <c r="Q127" s="12" t="s">
        <v>9</v>
      </c>
    </row>
    <row r="128" spans="1:17" ht="15.95" customHeight="1">
      <c r="A128" s="212"/>
      <c r="B128" s="277"/>
      <c r="C128" s="594"/>
      <c r="D128" s="557"/>
      <c r="E128" s="544"/>
      <c r="F128" s="429"/>
      <c r="G128" s="555"/>
      <c r="H128" s="550"/>
      <c r="I128" s="115" t="s">
        <v>412</v>
      </c>
      <c r="J128" s="21">
        <v>1000000</v>
      </c>
      <c r="K128" s="22" t="s">
        <v>9</v>
      </c>
      <c r="L128" s="23" t="s">
        <v>16</v>
      </c>
      <c r="M128" s="436">
        <v>1</v>
      </c>
      <c r="N128" s="436" t="s">
        <v>23</v>
      </c>
      <c r="O128" s="24" t="s">
        <v>15</v>
      </c>
      <c r="P128" s="21">
        <f t="shared" si="6"/>
        <v>1000000</v>
      </c>
      <c r="Q128" s="12" t="s">
        <v>9</v>
      </c>
    </row>
    <row r="129" spans="1:17" ht="15.95" customHeight="1">
      <c r="A129" s="212"/>
      <c r="B129" s="277"/>
      <c r="C129" s="595"/>
      <c r="D129" s="558"/>
      <c r="E129" s="545"/>
      <c r="F129" s="428"/>
      <c r="G129" s="554"/>
      <c r="H129" s="550"/>
      <c r="I129" s="225" t="s">
        <v>413</v>
      </c>
      <c r="J129" s="13">
        <v>250000</v>
      </c>
      <c r="K129" s="14" t="s">
        <v>9</v>
      </c>
      <c r="L129" s="15" t="s">
        <v>16</v>
      </c>
      <c r="M129" s="16">
        <v>2</v>
      </c>
      <c r="N129" s="16" t="s">
        <v>23</v>
      </c>
      <c r="O129" s="17" t="s">
        <v>15</v>
      </c>
      <c r="P129" s="13">
        <f t="shared" si="6"/>
        <v>500000</v>
      </c>
      <c r="Q129" s="18" t="s">
        <v>9</v>
      </c>
    </row>
    <row r="130" spans="1:17" ht="15.95" customHeight="1">
      <c r="A130" s="212"/>
      <c r="B130" s="64"/>
      <c r="C130" s="593" t="s">
        <v>171</v>
      </c>
      <c r="D130" s="556">
        <v>100</v>
      </c>
      <c r="E130" s="543">
        <f>+P130/1000</f>
        <v>100</v>
      </c>
      <c r="F130" s="546">
        <v>0</v>
      </c>
      <c r="G130" s="553">
        <f>+E130-D130</f>
        <v>0</v>
      </c>
      <c r="H130" s="551">
        <f>+G130/D130*100</f>
        <v>0</v>
      </c>
      <c r="I130" s="445"/>
      <c r="J130" s="71"/>
      <c r="K130" s="153"/>
      <c r="L130" s="70"/>
      <c r="M130" s="471" t="s">
        <v>55</v>
      </c>
      <c r="N130" s="471"/>
      <c r="O130" s="471"/>
      <c r="P130" s="71">
        <f>SUM(P131)</f>
        <v>100000</v>
      </c>
      <c r="Q130" s="59" t="s">
        <v>9</v>
      </c>
    </row>
    <row r="131" spans="1:17" ht="15.95" customHeight="1">
      <c r="A131" s="212"/>
      <c r="B131" s="64"/>
      <c r="C131" s="595"/>
      <c r="D131" s="558"/>
      <c r="E131" s="545"/>
      <c r="F131" s="547"/>
      <c r="G131" s="554"/>
      <c r="H131" s="552"/>
      <c r="I131" s="225" t="s">
        <v>352</v>
      </c>
      <c r="J131" s="13">
        <v>10000</v>
      </c>
      <c r="K131" s="14" t="s">
        <v>9</v>
      </c>
      <c r="L131" s="15" t="s">
        <v>16</v>
      </c>
      <c r="M131" s="16">
        <v>10</v>
      </c>
      <c r="N131" s="16" t="s">
        <v>23</v>
      </c>
      <c r="O131" s="17" t="s">
        <v>15</v>
      </c>
      <c r="P131" s="13">
        <f>SUM(J131*M131)</f>
        <v>100000</v>
      </c>
      <c r="Q131" s="18" t="s">
        <v>9</v>
      </c>
    </row>
    <row r="132" spans="1:17" ht="15.95" customHeight="1">
      <c r="A132" s="212"/>
      <c r="B132" s="277"/>
      <c r="C132" s="613" t="s">
        <v>414</v>
      </c>
      <c r="D132" s="556">
        <v>22762</v>
      </c>
      <c r="E132" s="543">
        <f>P132/1000</f>
        <v>22561.999940000002</v>
      </c>
      <c r="F132" s="429"/>
      <c r="G132" s="553">
        <f>E132-D132</f>
        <v>-200.00005999999848</v>
      </c>
      <c r="H132" s="551">
        <f>G132/D132*100</f>
        <v>-0.87865767507248249</v>
      </c>
      <c r="I132" s="115"/>
      <c r="J132" s="21"/>
      <c r="K132" s="22"/>
      <c r="L132" s="23"/>
      <c r="M132" s="581" t="s">
        <v>409</v>
      </c>
      <c r="N132" s="581"/>
      <c r="O132" s="581"/>
      <c r="P132" s="21">
        <f>SUM(P133:P136)</f>
        <v>22561999.940000001</v>
      </c>
      <c r="Q132" s="12" t="s">
        <v>9</v>
      </c>
    </row>
    <row r="133" spans="1:17" ht="15.95" customHeight="1">
      <c r="A133" s="212"/>
      <c r="B133" s="277"/>
      <c r="C133" s="615"/>
      <c r="D133" s="557"/>
      <c r="E133" s="544"/>
      <c r="F133" s="429"/>
      <c r="G133" s="555"/>
      <c r="H133" s="636"/>
      <c r="I133" s="115" t="s">
        <v>415</v>
      </c>
      <c r="J133" s="21">
        <v>1129429</v>
      </c>
      <c r="K133" s="22" t="s">
        <v>9</v>
      </c>
      <c r="L133" s="23" t="s">
        <v>16</v>
      </c>
      <c r="M133" s="436">
        <v>7</v>
      </c>
      <c r="N133" s="436" t="s">
        <v>416</v>
      </c>
      <c r="O133" s="24" t="s">
        <v>15</v>
      </c>
      <c r="P133" s="21">
        <f>SUM(J133*M133)-3</f>
        <v>7906000</v>
      </c>
      <c r="Q133" s="12" t="s">
        <v>9</v>
      </c>
    </row>
    <row r="134" spans="1:17" ht="15.95" customHeight="1">
      <c r="A134" s="212"/>
      <c r="B134" s="277"/>
      <c r="C134" s="615"/>
      <c r="D134" s="557"/>
      <c r="E134" s="544"/>
      <c r="F134" s="429"/>
      <c r="G134" s="555"/>
      <c r="H134" s="636"/>
      <c r="I134" s="115" t="s">
        <v>417</v>
      </c>
      <c r="J134" s="21">
        <v>1330000</v>
      </c>
      <c r="K134" s="22" t="s">
        <v>9</v>
      </c>
      <c r="L134" s="23" t="s">
        <v>16</v>
      </c>
      <c r="M134" s="436">
        <v>7</v>
      </c>
      <c r="N134" s="436" t="s">
        <v>416</v>
      </c>
      <c r="O134" s="24" t="s">
        <v>15</v>
      </c>
      <c r="P134" s="21">
        <f>SUM(J134*M134)</f>
        <v>9310000</v>
      </c>
      <c r="Q134" s="12" t="s">
        <v>9</v>
      </c>
    </row>
    <row r="135" spans="1:17" ht="15.95" customHeight="1">
      <c r="A135" s="212"/>
      <c r="B135" s="277"/>
      <c r="C135" s="615"/>
      <c r="D135" s="557"/>
      <c r="E135" s="544"/>
      <c r="F135" s="429"/>
      <c r="G135" s="555"/>
      <c r="H135" s="636"/>
      <c r="I135" s="115" t="s">
        <v>418</v>
      </c>
      <c r="J135" s="21">
        <v>628571.42000000004</v>
      </c>
      <c r="K135" s="22" t="s">
        <v>9</v>
      </c>
      <c r="L135" s="23" t="s">
        <v>16</v>
      </c>
      <c r="M135" s="436">
        <v>7</v>
      </c>
      <c r="N135" s="436" t="s">
        <v>444</v>
      </c>
      <c r="O135" s="24" t="s">
        <v>15</v>
      </c>
      <c r="P135" s="21">
        <f t="shared" ref="P135" si="7">SUM(J135*M135)</f>
        <v>4399999.9400000004</v>
      </c>
      <c r="Q135" s="12" t="s">
        <v>9</v>
      </c>
    </row>
    <row r="136" spans="1:17" ht="15.95" customHeight="1">
      <c r="A136" s="212"/>
      <c r="B136" s="277"/>
      <c r="C136" s="616"/>
      <c r="D136" s="558"/>
      <c r="E136" s="545"/>
      <c r="F136" s="429"/>
      <c r="G136" s="554"/>
      <c r="H136" s="552"/>
      <c r="I136" s="115" t="s">
        <v>419</v>
      </c>
      <c r="J136" s="21">
        <v>946000</v>
      </c>
      <c r="K136" s="22" t="s">
        <v>9</v>
      </c>
      <c r="L136" s="23" t="s">
        <v>16</v>
      </c>
      <c r="M136" s="436">
        <v>1</v>
      </c>
      <c r="N136" s="436" t="s">
        <v>23</v>
      </c>
      <c r="O136" s="24" t="s">
        <v>15</v>
      </c>
      <c r="P136" s="21">
        <f>SUM(J136*M136)</f>
        <v>946000</v>
      </c>
      <c r="Q136" s="12" t="s">
        <v>9</v>
      </c>
    </row>
    <row r="137" spans="1:17" ht="15.95" customHeight="1">
      <c r="A137" s="212"/>
      <c r="B137" s="277"/>
      <c r="C137" s="613" t="s">
        <v>277</v>
      </c>
      <c r="D137" s="556">
        <v>1400</v>
      </c>
      <c r="E137" s="543">
        <f>+P137/1000</f>
        <v>1400</v>
      </c>
      <c r="F137" s="546">
        <v>-1</v>
      </c>
      <c r="G137" s="553">
        <f>+E137-D137</f>
        <v>0</v>
      </c>
      <c r="H137" s="549">
        <f>+G137/D137*100</f>
        <v>0</v>
      </c>
      <c r="I137" s="445"/>
      <c r="J137" s="71"/>
      <c r="K137" s="153"/>
      <c r="L137" s="70"/>
      <c r="M137" s="471" t="s">
        <v>421</v>
      </c>
      <c r="N137" s="471"/>
      <c r="O137" s="471"/>
      <c r="P137" s="71">
        <f>SUM(P138:P138)</f>
        <v>1400000</v>
      </c>
      <c r="Q137" s="59" t="s">
        <v>9</v>
      </c>
    </row>
    <row r="138" spans="1:17" ht="15.95" customHeight="1">
      <c r="A138" s="212"/>
      <c r="B138" s="277"/>
      <c r="C138" s="594"/>
      <c r="D138" s="557"/>
      <c r="E138" s="544"/>
      <c r="F138" s="548"/>
      <c r="G138" s="555"/>
      <c r="H138" s="550"/>
      <c r="I138" s="115" t="s">
        <v>420</v>
      </c>
      <c r="J138" s="21">
        <v>1400000</v>
      </c>
      <c r="K138" s="22" t="s">
        <v>9</v>
      </c>
      <c r="L138" s="23" t="s">
        <v>16</v>
      </c>
      <c r="M138" s="436">
        <v>1</v>
      </c>
      <c r="N138" s="436" t="s">
        <v>23</v>
      </c>
      <c r="O138" s="24" t="s">
        <v>15</v>
      </c>
      <c r="P138" s="21">
        <f>SUM(J138*M138)</f>
        <v>1400000</v>
      </c>
      <c r="Q138" s="12" t="s">
        <v>9</v>
      </c>
    </row>
    <row r="139" spans="1:17" ht="15.95" customHeight="1">
      <c r="A139" s="212"/>
      <c r="B139" s="277"/>
      <c r="C139" s="619" t="s">
        <v>422</v>
      </c>
      <c r="D139" s="606">
        <v>45200</v>
      </c>
      <c r="E139" s="642">
        <f>+P139/1000</f>
        <v>45200</v>
      </c>
      <c r="F139" s="582">
        <v>0</v>
      </c>
      <c r="G139" s="635">
        <f>+E139-D139</f>
        <v>0</v>
      </c>
      <c r="H139" s="549">
        <f>+G139/D139*100</f>
        <v>0</v>
      </c>
      <c r="I139" s="444"/>
      <c r="J139" s="71"/>
      <c r="K139" s="153"/>
      <c r="L139" s="70"/>
      <c r="M139" s="471" t="s">
        <v>55</v>
      </c>
      <c r="N139" s="471"/>
      <c r="O139" s="471"/>
      <c r="P139" s="71">
        <f>SUM(P140:P140)</f>
        <v>45200000</v>
      </c>
      <c r="Q139" s="59" t="s">
        <v>9</v>
      </c>
    </row>
    <row r="140" spans="1:17" ht="15.95" customHeight="1">
      <c r="A140" s="212"/>
      <c r="B140" s="277"/>
      <c r="C140" s="644"/>
      <c r="D140" s="606"/>
      <c r="E140" s="642"/>
      <c r="F140" s="582"/>
      <c r="G140" s="635"/>
      <c r="H140" s="550"/>
      <c r="I140" s="20" t="s">
        <v>424</v>
      </c>
      <c r="J140" s="13">
        <v>1808000</v>
      </c>
      <c r="K140" s="14" t="s">
        <v>9</v>
      </c>
      <c r="L140" s="15" t="s">
        <v>16</v>
      </c>
      <c r="M140" s="16">
        <v>25</v>
      </c>
      <c r="N140" s="16" t="s">
        <v>23</v>
      </c>
      <c r="O140" s="17" t="s">
        <v>15</v>
      </c>
      <c r="P140" s="13">
        <f>SUM(J140*M140)</f>
        <v>45200000</v>
      </c>
      <c r="Q140" s="18" t="s">
        <v>9</v>
      </c>
    </row>
    <row r="141" spans="1:17" ht="15.95" customHeight="1">
      <c r="A141" s="212"/>
      <c r="B141" s="64"/>
      <c r="C141" s="625" t="s">
        <v>423</v>
      </c>
      <c r="D141" s="628">
        <v>54000</v>
      </c>
      <c r="E141" s="629">
        <f>P141/1000</f>
        <v>54000</v>
      </c>
      <c r="F141" s="278"/>
      <c r="G141" s="639">
        <f>E141-D141</f>
        <v>0</v>
      </c>
      <c r="H141" s="551">
        <f>+G141/D141*100</f>
        <v>0</v>
      </c>
      <c r="I141" s="279"/>
      <c r="J141" s="153"/>
      <c r="K141" s="153"/>
      <c r="L141" s="153"/>
      <c r="M141" s="471" t="s">
        <v>421</v>
      </c>
      <c r="N141" s="471"/>
      <c r="O141" s="471"/>
      <c r="P141" s="58">
        <f>SUM(P142:P143)</f>
        <v>54000000</v>
      </c>
      <c r="Q141" s="59" t="s">
        <v>427</v>
      </c>
    </row>
    <row r="142" spans="1:17" ht="15.95" customHeight="1">
      <c r="A142" s="212"/>
      <c r="B142" s="64"/>
      <c r="C142" s="626"/>
      <c r="D142" s="628"/>
      <c r="E142" s="630"/>
      <c r="F142" s="280"/>
      <c r="G142" s="640"/>
      <c r="H142" s="636"/>
      <c r="I142" s="226" t="s">
        <v>425</v>
      </c>
      <c r="J142" s="21">
        <v>5000000</v>
      </c>
      <c r="K142" s="22" t="s">
        <v>9</v>
      </c>
      <c r="L142" s="23" t="s">
        <v>16</v>
      </c>
      <c r="M142" s="436">
        <v>10</v>
      </c>
      <c r="N142" s="436" t="s">
        <v>23</v>
      </c>
      <c r="O142" s="24" t="s">
        <v>15</v>
      </c>
      <c r="P142" s="21">
        <f>SUM(J142*M142)</f>
        <v>50000000</v>
      </c>
      <c r="Q142" s="12" t="s">
        <v>9</v>
      </c>
    </row>
    <row r="143" spans="1:17" ht="15.95" customHeight="1">
      <c r="A143" s="212"/>
      <c r="B143" s="64"/>
      <c r="C143" s="627"/>
      <c r="D143" s="628"/>
      <c r="E143" s="631"/>
      <c r="F143" s="280"/>
      <c r="G143" s="641"/>
      <c r="H143" s="552"/>
      <c r="I143" s="226" t="s">
        <v>426</v>
      </c>
      <c r="J143" s="21">
        <v>4000000</v>
      </c>
      <c r="K143" s="22" t="s">
        <v>9</v>
      </c>
      <c r="L143" s="23" t="s">
        <v>16</v>
      </c>
      <c r="M143" s="436">
        <v>1</v>
      </c>
      <c r="N143" s="436" t="s">
        <v>23</v>
      </c>
      <c r="O143" s="24" t="s">
        <v>15</v>
      </c>
      <c r="P143" s="21">
        <f>SUM(J143*M143)</f>
        <v>4000000</v>
      </c>
      <c r="Q143" s="12" t="s">
        <v>9</v>
      </c>
    </row>
    <row r="144" spans="1:17" ht="15.95" customHeight="1">
      <c r="A144" s="212"/>
      <c r="B144" s="64"/>
      <c r="C144" s="593" t="s">
        <v>126</v>
      </c>
      <c r="D144" s="556">
        <v>126000</v>
      </c>
      <c r="E144" s="543">
        <f>(P144/1000)</f>
        <v>116000</v>
      </c>
      <c r="F144" s="546">
        <v>83961</v>
      </c>
      <c r="G144" s="553">
        <f>E144-D144</f>
        <v>-10000</v>
      </c>
      <c r="H144" s="638">
        <f>G144/D144*100</f>
        <v>-7.9365079365079358</v>
      </c>
      <c r="I144" s="247"/>
      <c r="J144" s="71"/>
      <c r="K144" s="153"/>
      <c r="L144" s="70"/>
      <c r="M144" s="471" t="s">
        <v>55</v>
      </c>
      <c r="N144" s="471"/>
      <c r="O144" s="471"/>
      <c r="P144" s="71">
        <f>SUM(P145:P147)</f>
        <v>116000000</v>
      </c>
      <c r="Q144" s="59" t="s">
        <v>9</v>
      </c>
    </row>
    <row r="145" spans="1:17" ht="15.95" customHeight="1">
      <c r="A145" s="212"/>
      <c r="B145" s="64"/>
      <c r="C145" s="594"/>
      <c r="D145" s="557"/>
      <c r="E145" s="544"/>
      <c r="F145" s="548"/>
      <c r="G145" s="555"/>
      <c r="H145" s="638"/>
      <c r="I145" s="235" t="s">
        <v>256</v>
      </c>
      <c r="J145" s="21">
        <v>88520000</v>
      </c>
      <c r="K145" s="22" t="s">
        <v>9</v>
      </c>
      <c r="L145" s="23" t="s">
        <v>16</v>
      </c>
      <c r="M145" s="436">
        <v>1</v>
      </c>
      <c r="N145" s="436" t="s">
        <v>23</v>
      </c>
      <c r="O145" s="24" t="s">
        <v>15</v>
      </c>
      <c r="P145" s="21">
        <f>SUM(J145*M145)</f>
        <v>88520000</v>
      </c>
      <c r="Q145" s="12" t="s">
        <v>9</v>
      </c>
    </row>
    <row r="146" spans="1:17" ht="15.95" customHeight="1">
      <c r="A146" s="212"/>
      <c r="B146" s="64"/>
      <c r="C146" s="594"/>
      <c r="D146" s="557"/>
      <c r="E146" s="544"/>
      <c r="F146" s="428"/>
      <c r="G146" s="555"/>
      <c r="H146" s="638"/>
      <c r="I146" s="224" t="s">
        <v>3</v>
      </c>
      <c r="J146" s="21">
        <v>16480000</v>
      </c>
      <c r="K146" s="22" t="s">
        <v>9</v>
      </c>
      <c r="L146" s="23" t="s">
        <v>16</v>
      </c>
      <c r="M146" s="436">
        <v>1</v>
      </c>
      <c r="N146" s="436" t="s">
        <v>23</v>
      </c>
      <c r="O146" s="24" t="s">
        <v>35</v>
      </c>
      <c r="P146" s="21">
        <f>J146*M146</f>
        <v>16480000</v>
      </c>
      <c r="Q146" s="12" t="s">
        <v>9</v>
      </c>
    </row>
    <row r="147" spans="1:17" ht="15.95" customHeight="1">
      <c r="A147" s="212"/>
      <c r="B147" s="93"/>
      <c r="C147" s="595"/>
      <c r="D147" s="558"/>
      <c r="E147" s="545"/>
      <c r="F147" s="428"/>
      <c r="G147" s="554"/>
      <c r="H147" s="638"/>
      <c r="I147" s="673" t="s">
        <v>199</v>
      </c>
      <c r="J147" s="13">
        <v>11000000</v>
      </c>
      <c r="K147" s="14" t="s">
        <v>9</v>
      </c>
      <c r="L147" s="15" t="s">
        <v>16</v>
      </c>
      <c r="M147" s="16">
        <v>1</v>
      </c>
      <c r="N147" s="16" t="s">
        <v>23</v>
      </c>
      <c r="O147" s="17" t="s">
        <v>35</v>
      </c>
      <c r="P147" s="13">
        <f>J147*M147</f>
        <v>11000000</v>
      </c>
      <c r="Q147" s="18" t="s">
        <v>9</v>
      </c>
    </row>
    <row r="148" spans="1:17" ht="20.100000000000001" customHeight="1">
      <c r="A148" s="281" t="s">
        <v>62</v>
      </c>
      <c r="B148" s="282" t="s">
        <v>428</v>
      </c>
      <c r="C148" s="412" t="s">
        <v>39</v>
      </c>
      <c r="D148" s="452">
        <f>SUM(D149:D164)</f>
        <v>370260</v>
      </c>
      <c r="E148" s="452">
        <f>SUM(E149:E164)</f>
        <v>236673.46000000002</v>
      </c>
      <c r="F148" s="437">
        <f>SUM(F149:F155)</f>
        <v>4163</v>
      </c>
      <c r="G148" s="451">
        <f>+E148-D148</f>
        <v>-133586.53999999998</v>
      </c>
      <c r="H148" s="435">
        <f>+G148/D148*100</f>
        <v>-36.079117376978331</v>
      </c>
      <c r="I148" s="272"/>
      <c r="J148" s="159"/>
      <c r="K148" s="79"/>
      <c r="L148" s="160"/>
      <c r="M148" s="413"/>
      <c r="N148" s="413"/>
      <c r="O148" s="161"/>
      <c r="P148" s="159">
        <f>SUM(P149,P158,P163)</f>
        <v>236673460</v>
      </c>
      <c r="Q148" s="113" t="s">
        <v>9</v>
      </c>
    </row>
    <row r="149" spans="1:17" ht="15.95" customHeight="1">
      <c r="A149" s="212"/>
      <c r="B149" s="266" t="s">
        <v>159</v>
      </c>
      <c r="C149" s="613" t="s">
        <v>465</v>
      </c>
      <c r="D149" s="556">
        <v>19660</v>
      </c>
      <c r="E149" s="543">
        <f>+P149/1000</f>
        <v>19660</v>
      </c>
      <c r="F149" s="546">
        <v>4163</v>
      </c>
      <c r="G149" s="553">
        <f>+E149-D149</f>
        <v>0</v>
      </c>
      <c r="H149" s="551">
        <f>+G149/D149*100</f>
        <v>0</v>
      </c>
      <c r="I149" s="62"/>
      <c r="J149" s="71"/>
      <c r="K149" s="153"/>
      <c r="L149" s="70"/>
      <c r="M149" s="471" t="s">
        <v>55</v>
      </c>
      <c r="N149" s="471"/>
      <c r="O149" s="471"/>
      <c r="P149" s="71">
        <f>SUM(P150,P156,P157)</f>
        <v>19660000</v>
      </c>
      <c r="Q149" s="59" t="s">
        <v>9</v>
      </c>
    </row>
    <row r="150" spans="1:17" ht="15.95" customHeight="1">
      <c r="A150" s="212"/>
      <c r="B150" s="399"/>
      <c r="C150" s="615"/>
      <c r="D150" s="557"/>
      <c r="E150" s="544"/>
      <c r="F150" s="548"/>
      <c r="G150" s="555"/>
      <c r="H150" s="636"/>
      <c r="I150" s="283" t="s">
        <v>196</v>
      </c>
      <c r="J150" s="284"/>
      <c r="K150" s="285"/>
      <c r="L150" s="146"/>
      <c r="M150" s="145"/>
      <c r="N150" s="145"/>
      <c r="O150" s="147"/>
      <c r="P150" s="21">
        <f>SUM(P151:P155)</f>
        <v>16160000</v>
      </c>
      <c r="Q150" s="12" t="s">
        <v>9</v>
      </c>
    </row>
    <row r="151" spans="1:17" ht="15.95" customHeight="1">
      <c r="A151" s="212"/>
      <c r="B151" s="64"/>
      <c r="C151" s="615"/>
      <c r="D151" s="557"/>
      <c r="E151" s="544"/>
      <c r="F151" s="548"/>
      <c r="G151" s="555"/>
      <c r="H151" s="636"/>
      <c r="I151" s="66" t="s">
        <v>273</v>
      </c>
      <c r="J151" s="21">
        <v>100000</v>
      </c>
      <c r="K151" s="22" t="s">
        <v>9</v>
      </c>
      <c r="L151" s="23" t="s">
        <v>16</v>
      </c>
      <c r="M151" s="436">
        <v>2</v>
      </c>
      <c r="N151" s="436" t="s">
        <v>23</v>
      </c>
      <c r="O151" s="24" t="s">
        <v>15</v>
      </c>
      <c r="P151" s="21">
        <f t="shared" ref="P151:P156" si="8">SUM(J151*M151)</f>
        <v>200000</v>
      </c>
      <c r="Q151" s="12" t="s">
        <v>9</v>
      </c>
    </row>
    <row r="152" spans="1:17" ht="15.95" customHeight="1">
      <c r="A152" s="212"/>
      <c r="B152" s="64"/>
      <c r="C152" s="615"/>
      <c r="D152" s="557"/>
      <c r="E152" s="544"/>
      <c r="F152" s="548"/>
      <c r="G152" s="555"/>
      <c r="H152" s="636"/>
      <c r="I152" s="66" t="s">
        <v>265</v>
      </c>
      <c r="J152" s="21">
        <v>15000</v>
      </c>
      <c r="K152" s="22" t="s">
        <v>9</v>
      </c>
      <c r="L152" s="23" t="s">
        <v>16</v>
      </c>
      <c r="M152" s="436">
        <v>60</v>
      </c>
      <c r="N152" s="436" t="s">
        <v>66</v>
      </c>
      <c r="O152" s="24" t="s">
        <v>15</v>
      </c>
      <c r="P152" s="21">
        <f t="shared" si="8"/>
        <v>900000</v>
      </c>
      <c r="Q152" s="12" t="s">
        <v>9</v>
      </c>
    </row>
    <row r="153" spans="1:17" ht="15.95" customHeight="1">
      <c r="A153" s="212"/>
      <c r="B153" s="64"/>
      <c r="C153" s="615"/>
      <c r="D153" s="557"/>
      <c r="E153" s="544"/>
      <c r="F153" s="548"/>
      <c r="G153" s="555"/>
      <c r="H153" s="636"/>
      <c r="I153" s="66" t="s">
        <v>355</v>
      </c>
      <c r="J153" s="21">
        <v>12560000</v>
      </c>
      <c r="K153" s="22" t="s">
        <v>9</v>
      </c>
      <c r="L153" s="23" t="s">
        <v>16</v>
      </c>
      <c r="M153" s="436">
        <v>1</v>
      </c>
      <c r="N153" s="436" t="s">
        <v>23</v>
      </c>
      <c r="O153" s="24" t="s">
        <v>15</v>
      </c>
      <c r="P153" s="21">
        <f t="shared" si="8"/>
        <v>12560000</v>
      </c>
      <c r="Q153" s="12" t="s">
        <v>9</v>
      </c>
    </row>
    <row r="154" spans="1:17" ht="15.95" customHeight="1">
      <c r="A154" s="265"/>
      <c r="B154" s="286"/>
      <c r="C154" s="615"/>
      <c r="D154" s="557"/>
      <c r="E154" s="544"/>
      <c r="F154" s="548"/>
      <c r="G154" s="555"/>
      <c r="H154" s="636"/>
      <c r="I154" s="250" t="s">
        <v>383</v>
      </c>
      <c r="J154" s="21">
        <v>200000</v>
      </c>
      <c r="K154" s="22" t="s">
        <v>9</v>
      </c>
      <c r="L154" s="23" t="s">
        <v>16</v>
      </c>
      <c r="M154" s="436">
        <v>2</v>
      </c>
      <c r="N154" s="436" t="s">
        <v>23</v>
      </c>
      <c r="O154" s="24"/>
      <c r="P154" s="21">
        <f t="shared" si="8"/>
        <v>400000</v>
      </c>
      <c r="Q154" s="12" t="s">
        <v>9</v>
      </c>
    </row>
    <row r="155" spans="1:17" ht="15.95" customHeight="1">
      <c r="A155" s="212"/>
      <c r="B155" s="64"/>
      <c r="C155" s="615"/>
      <c r="D155" s="557"/>
      <c r="E155" s="544"/>
      <c r="F155" s="548"/>
      <c r="G155" s="555"/>
      <c r="H155" s="636"/>
      <c r="I155" s="19" t="s">
        <v>366</v>
      </c>
      <c r="J155" s="21">
        <v>210000</v>
      </c>
      <c r="K155" s="22" t="s">
        <v>9</v>
      </c>
      <c r="L155" s="23" t="s">
        <v>16</v>
      </c>
      <c r="M155" s="436">
        <v>10</v>
      </c>
      <c r="N155" s="436" t="s">
        <v>23</v>
      </c>
      <c r="O155" s="436"/>
      <c r="P155" s="21">
        <f t="shared" si="8"/>
        <v>2100000</v>
      </c>
      <c r="Q155" s="12" t="s">
        <v>9</v>
      </c>
    </row>
    <row r="156" spans="1:17" ht="15.75" customHeight="1">
      <c r="A156" s="212"/>
      <c r="B156" s="64"/>
      <c r="C156" s="615"/>
      <c r="D156" s="557"/>
      <c r="E156" s="544"/>
      <c r="F156" s="429"/>
      <c r="G156" s="555"/>
      <c r="H156" s="636"/>
      <c r="I156" s="287" t="s">
        <v>208</v>
      </c>
      <c r="J156" s="21">
        <v>500000</v>
      </c>
      <c r="K156" s="22" t="s">
        <v>9</v>
      </c>
      <c r="L156" s="23" t="s">
        <v>16</v>
      </c>
      <c r="M156" s="436">
        <v>1</v>
      </c>
      <c r="N156" s="436" t="s">
        <v>23</v>
      </c>
      <c r="O156" s="436"/>
      <c r="P156" s="21">
        <f t="shared" si="8"/>
        <v>500000</v>
      </c>
      <c r="Q156" s="12" t="s">
        <v>9</v>
      </c>
    </row>
    <row r="157" spans="1:17" ht="15.75" customHeight="1">
      <c r="A157" s="288"/>
      <c r="B157" s="64"/>
      <c r="C157" s="616"/>
      <c r="D157" s="558"/>
      <c r="E157" s="545"/>
      <c r="F157" s="429"/>
      <c r="G157" s="554"/>
      <c r="H157" s="552"/>
      <c r="I157" s="287" t="s">
        <v>394</v>
      </c>
      <c r="J157" s="13">
        <v>200000</v>
      </c>
      <c r="K157" s="14" t="s">
        <v>9</v>
      </c>
      <c r="L157" s="15" t="s">
        <v>16</v>
      </c>
      <c r="M157" s="16">
        <v>15</v>
      </c>
      <c r="N157" s="16" t="s">
        <v>23</v>
      </c>
      <c r="O157" s="16"/>
      <c r="P157" s="13">
        <f>SUM(J157*M157)</f>
        <v>3000000</v>
      </c>
      <c r="Q157" s="12" t="s">
        <v>9</v>
      </c>
    </row>
    <row r="158" spans="1:17" ht="15.95" customHeight="1">
      <c r="A158" s="288"/>
      <c r="B158" s="286"/>
      <c r="C158" s="644" t="s">
        <v>252</v>
      </c>
      <c r="D158" s="606">
        <v>200600</v>
      </c>
      <c r="E158" s="642">
        <f>P158/1000</f>
        <v>67013.460000000006</v>
      </c>
      <c r="F158" s="582">
        <v>80151</v>
      </c>
      <c r="G158" s="635">
        <f>+E158-D158</f>
        <v>-133586.53999999998</v>
      </c>
      <c r="H158" s="638">
        <f>+G158/D158*100</f>
        <v>-66.593489531405766</v>
      </c>
      <c r="I158" s="62"/>
      <c r="J158" s="71"/>
      <c r="K158" s="153"/>
      <c r="L158" s="70"/>
      <c r="M158" s="471" t="s">
        <v>55</v>
      </c>
      <c r="N158" s="471"/>
      <c r="O158" s="471"/>
      <c r="P158" s="71">
        <f>SUM(P159:P162)</f>
        <v>67013460</v>
      </c>
      <c r="Q158" s="59" t="s">
        <v>9</v>
      </c>
    </row>
    <row r="159" spans="1:17" ht="15.95" customHeight="1">
      <c r="A159" s="212"/>
      <c r="B159" s="286"/>
      <c r="C159" s="644"/>
      <c r="D159" s="606"/>
      <c r="E159" s="642"/>
      <c r="F159" s="582"/>
      <c r="G159" s="635"/>
      <c r="H159" s="638"/>
      <c r="I159" s="289" t="s">
        <v>359</v>
      </c>
      <c r="J159" s="21">
        <v>500000</v>
      </c>
      <c r="K159" s="22" t="s">
        <v>9</v>
      </c>
      <c r="L159" s="23" t="s">
        <v>16</v>
      </c>
      <c r="M159" s="436">
        <v>1</v>
      </c>
      <c r="N159" s="436" t="s">
        <v>23</v>
      </c>
      <c r="O159" s="24" t="s">
        <v>15</v>
      </c>
      <c r="P159" s="21">
        <f>SUM(J159*M159)</f>
        <v>500000</v>
      </c>
      <c r="Q159" s="12" t="s">
        <v>9</v>
      </c>
    </row>
    <row r="160" spans="1:17" ht="15.95" customHeight="1">
      <c r="A160" s="212"/>
      <c r="B160" s="64"/>
      <c r="C160" s="644"/>
      <c r="D160" s="606"/>
      <c r="E160" s="642"/>
      <c r="F160" s="582"/>
      <c r="G160" s="635"/>
      <c r="H160" s="638"/>
      <c r="I160" s="235" t="s">
        <v>340</v>
      </c>
      <c r="J160" s="21">
        <v>37613460</v>
      </c>
      <c r="K160" s="22" t="s">
        <v>9</v>
      </c>
      <c r="L160" s="23" t="s">
        <v>16</v>
      </c>
      <c r="M160" s="436">
        <v>1</v>
      </c>
      <c r="N160" s="436" t="s">
        <v>23</v>
      </c>
      <c r="O160" s="24" t="s">
        <v>15</v>
      </c>
      <c r="P160" s="21">
        <f>SUM(J160*M160)</f>
        <v>37613460</v>
      </c>
      <c r="Q160" s="12" t="s">
        <v>9</v>
      </c>
    </row>
    <row r="161" spans="1:17" ht="15.95" customHeight="1">
      <c r="A161" s="212"/>
      <c r="B161" s="64"/>
      <c r="C161" s="644"/>
      <c r="D161" s="606"/>
      <c r="E161" s="642"/>
      <c r="F161" s="582"/>
      <c r="G161" s="635"/>
      <c r="H161" s="638"/>
      <c r="I161" s="235" t="s">
        <v>486</v>
      </c>
      <c r="J161" s="21">
        <v>10000000</v>
      </c>
      <c r="K161" s="22" t="s">
        <v>9</v>
      </c>
      <c r="L161" s="23" t="s">
        <v>16</v>
      </c>
      <c r="M161" s="436">
        <v>1</v>
      </c>
      <c r="N161" s="436" t="s">
        <v>23</v>
      </c>
      <c r="O161" s="24" t="s">
        <v>15</v>
      </c>
      <c r="P161" s="21">
        <f>SUM(J161*M161)</f>
        <v>10000000</v>
      </c>
      <c r="Q161" s="12" t="s">
        <v>9</v>
      </c>
    </row>
    <row r="162" spans="1:17" ht="15.95" customHeight="1">
      <c r="A162" s="212"/>
      <c r="B162" s="64"/>
      <c r="C162" s="644"/>
      <c r="D162" s="606"/>
      <c r="E162" s="642"/>
      <c r="F162" s="582"/>
      <c r="G162" s="635"/>
      <c r="H162" s="549"/>
      <c r="I162" s="674" t="s">
        <v>217</v>
      </c>
      <c r="J162" s="13">
        <v>18900000</v>
      </c>
      <c r="K162" s="14" t="s">
        <v>9</v>
      </c>
      <c r="L162" s="15" t="s">
        <v>16</v>
      </c>
      <c r="M162" s="16">
        <v>1</v>
      </c>
      <c r="N162" s="16" t="s">
        <v>23</v>
      </c>
      <c r="O162" s="17" t="s">
        <v>15</v>
      </c>
      <c r="P162" s="13">
        <f>SUM(J162*M162)</f>
        <v>18900000</v>
      </c>
      <c r="Q162" s="18" t="s">
        <v>9</v>
      </c>
    </row>
    <row r="163" spans="1:17" ht="15.95" customHeight="1">
      <c r="A163" s="265"/>
      <c r="B163" s="399"/>
      <c r="C163" s="625" t="s">
        <v>332</v>
      </c>
      <c r="D163" s="606">
        <v>150000</v>
      </c>
      <c r="E163" s="642">
        <f>+P163/1000</f>
        <v>150000</v>
      </c>
      <c r="F163" s="437"/>
      <c r="G163" s="637">
        <f>+E163-D163</f>
        <v>0</v>
      </c>
      <c r="H163" s="549">
        <f>+G163/D163*100</f>
        <v>0</v>
      </c>
      <c r="I163" s="445"/>
      <c r="J163" s="71"/>
      <c r="K163" s="153"/>
      <c r="L163" s="70"/>
      <c r="M163" s="471" t="s">
        <v>55</v>
      </c>
      <c r="N163" s="471"/>
      <c r="O163" s="471"/>
      <c r="P163" s="71">
        <f>SUM(P164:P164)</f>
        <v>150000000</v>
      </c>
      <c r="Q163" s="59" t="s">
        <v>9</v>
      </c>
    </row>
    <row r="164" spans="1:17" ht="15.95" customHeight="1">
      <c r="A164" s="281"/>
      <c r="B164" s="399"/>
      <c r="C164" s="627"/>
      <c r="D164" s="606"/>
      <c r="E164" s="642"/>
      <c r="F164" s="437"/>
      <c r="G164" s="637"/>
      <c r="H164" s="550"/>
      <c r="I164" s="115" t="s">
        <v>332</v>
      </c>
      <c r="J164" s="87">
        <v>12500000</v>
      </c>
      <c r="K164" s="121" t="s">
        <v>9</v>
      </c>
      <c r="L164" s="89" t="s">
        <v>16</v>
      </c>
      <c r="M164" s="88">
        <v>12</v>
      </c>
      <c r="N164" s="88" t="s">
        <v>23</v>
      </c>
      <c r="O164" s="90" t="s">
        <v>15</v>
      </c>
      <c r="P164" s="87">
        <f>J164*M164</f>
        <v>150000000</v>
      </c>
      <c r="Q164" s="12" t="s">
        <v>9</v>
      </c>
    </row>
    <row r="165" spans="1:17" ht="20.100000000000001" customHeight="1">
      <c r="A165" s="290"/>
      <c r="B165" s="369" t="s">
        <v>72</v>
      </c>
      <c r="C165" s="440" t="s">
        <v>39</v>
      </c>
      <c r="D165" s="420">
        <f>+D166+D170+D174</f>
        <v>26000</v>
      </c>
      <c r="E165" s="425">
        <f>SUM(E166:E175)</f>
        <v>26000</v>
      </c>
      <c r="F165" s="427" t="e">
        <f>+#REF!+F166+#REF!+#REF!+F174</f>
        <v>#REF!</v>
      </c>
      <c r="G165" s="422">
        <f t="shared" ref="G165:G167" si="9">+E165-D165</f>
        <v>0</v>
      </c>
      <c r="H165" s="433">
        <f>+G165/D165*100</f>
        <v>0</v>
      </c>
      <c r="I165" s="445"/>
      <c r="J165" s="63"/>
      <c r="K165" s="153"/>
      <c r="L165" s="70"/>
      <c r="M165" s="398"/>
      <c r="N165" s="398"/>
      <c r="O165" s="162"/>
      <c r="P165" s="63">
        <f>SUM(P166,P170,P174)</f>
        <v>26000000</v>
      </c>
      <c r="Q165" s="59" t="s">
        <v>9</v>
      </c>
    </row>
    <row r="166" spans="1:17" ht="15.95" customHeight="1">
      <c r="A166" s="212"/>
      <c r="B166" s="64"/>
      <c r="C166" s="598" t="s">
        <v>98</v>
      </c>
      <c r="D166" s="556">
        <v>8800</v>
      </c>
      <c r="E166" s="543">
        <f>P166/1000</f>
        <v>8800</v>
      </c>
      <c r="F166" s="546">
        <v>14521</v>
      </c>
      <c r="G166" s="553">
        <f t="shared" si="9"/>
        <v>0</v>
      </c>
      <c r="H166" s="549">
        <f>+G166/D166*100</f>
        <v>0</v>
      </c>
      <c r="I166" s="445"/>
      <c r="J166" s="71"/>
      <c r="K166" s="153"/>
      <c r="L166" s="70"/>
      <c r="M166" s="471" t="s">
        <v>55</v>
      </c>
      <c r="N166" s="471"/>
      <c r="O166" s="471"/>
      <c r="P166" s="71">
        <v>8800000</v>
      </c>
      <c r="Q166" s="59" t="s">
        <v>9</v>
      </c>
    </row>
    <row r="167" spans="1:17" ht="15.95" customHeight="1">
      <c r="A167" s="212"/>
      <c r="B167" s="64"/>
      <c r="C167" s="592"/>
      <c r="D167" s="557"/>
      <c r="E167" s="544"/>
      <c r="F167" s="548"/>
      <c r="G167" s="555">
        <f t="shared" si="9"/>
        <v>0</v>
      </c>
      <c r="H167" s="550" t="e">
        <f>+G167/D167*100</f>
        <v>#DIV/0!</v>
      </c>
      <c r="I167" s="267" t="s">
        <v>446</v>
      </c>
      <c r="J167" s="87">
        <v>2100000</v>
      </c>
      <c r="K167" s="121" t="s">
        <v>9</v>
      </c>
      <c r="L167" s="89" t="s">
        <v>16</v>
      </c>
      <c r="M167" s="88">
        <v>1</v>
      </c>
      <c r="N167" s="436" t="s">
        <v>23</v>
      </c>
      <c r="O167" s="24" t="s">
        <v>15</v>
      </c>
      <c r="P167" s="21">
        <f>SUM(J167*M167)</f>
        <v>2100000</v>
      </c>
      <c r="Q167" s="12" t="s">
        <v>9</v>
      </c>
    </row>
    <row r="168" spans="1:17" ht="15.95" customHeight="1">
      <c r="A168" s="212"/>
      <c r="B168" s="64"/>
      <c r="C168" s="592"/>
      <c r="D168" s="557"/>
      <c r="E168" s="544"/>
      <c r="F168" s="548"/>
      <c r="G168" s="555"/>
      <c r="H168" s="550"/>
      <c r="I168" s="267" t="s">
        <v>447</v>
      </c>
      <c r="J168" s="87">
        <v>4240000</v>
      </c>
      <c r="K168" s="121" t="s">
        <v>9</v>
      </c>
      <c r="L168" s="89" t="s">
        <v>16</v>
      </c>
      <c r="M168" s="88">
        <v>1</v>
      </c>
      <c r="N168" s="436" t="s">
        <v>23</v>
      </c>
      <c r="O168" s="24" t="s">
        <v>15</v>
      </c>
      <c r="P168" s="21">
        <f>SUM(J168*M168)</f>
        <v>4240000</v>
      </c>
      <c r="Q168" s="12" t="s">
        <v>9</v>
      </c>
    </row>
    <row r="169" spans="1:17" ht="15.95" customHeight="1">
      <c r="A169" s="212"/>
      <c r="B169" s="64"/>
      <c r="C169" s="592"/>
      <c r="D169" s="557"/>
      <c r="E169" s="544"/>
      <c r="F169" s="548"/>
      <c r="G169" s="555"/>
      <c r="H169" s="550"/>
      <c r="I169" s="267" t="s">
        <v>448</v>
      </c>
      <c r="J169" s="87">
        <v>2460000</v>
      </c>
      <c r="K169" s="121" t="s">
        <v>9</v>
      </c>
      <c r="L169" s="89" t="s">
        <v>16</v>
      </c>
      <c r="M169" s="88">
        <v>1</v>
      </c>
      <c r="N169" s="436" t="s">
        <v>23</v>
      </c>
      <c r="O169" s="24" t="s">
        <v>15</v>
      </c>
      <c r="P169" s="21">
        <f>SUM(J169*M169)</f>
        <v>2460000</v>
      </c>
      <c r="Q169" s="12" t="s">
        <v>9</v>
      </c>
    </row>
    <row r="170" spans="1:17" ht="15.95" customHeight="1">
      <c r="A170" s="212"/>
      <c r="B170" s="64"/>
      <c r="C170" s="613" t="s">
        <v>432</v>
      </c>
      <c r="D170" s="556">
        <v>17000</v>
      </c>
      <c r="E170" s="543">
        <f>P170/1000</f>
        <v>17000</v>
      </c>
      <c r="F170" s="427"/>
      <c r="G170" s="553">
        <f>E170-D170</f>
        <v>0</v>
      </c>
      <c r="H170" s="549">
        <f>+G170/D170*100</f>
        <v>0</v>
      </c>
      <c r="I170" s="291"/>
      <c r="J170" s="132"/>
      <c r="K170" s="292"/>
      <c r="L170" s="293"/>
      <c r="M170" s="484" t="s">
        <v>421</v>
      </c>
      <c r="N170" s="484"/>
      <c r="O170" s="484"/>
      <c r="P170" s="71">
        <f>SUM(P171:P173)</f>
        <v>17000000</v>
      </c>
      <c r="Q170" s="59" t="s">
        <v>427</v>
      </c>
    </row>
    <row r="171" spans="1:17" ht="15.95" customHeight="1">
      <c r="A171" s="212"/>
      <c r="B171" s="64"/>
      <c r="C171" s="594"/>
      <c r="D171" s="557"/>
      <c r="E171" s="544"/>
      <c r="F171" s="429"/>
      <c r="G171" s="555"/>
      <c r="H171" s="550" t="e">
        <f>+G171/D171*100</f>
        <v>#DIV/0!</v>
      </c>
      <c r="I171" s="267" t="s">
        <v>429</v>
      </c>
      <c r="J171" s="87">
        <v>3500000</v>
      </c>
      <c r="K171" s="121" t="s">
        <v>9</v>
      </c>
      <c r="L171" s="89" t="s">
        <v>16</v>
      </c>
      <c r="M171" s="88">
        <v>2</v>
      </c>
      <c r="N171" s="436" t="s">
        <v>23</v>
      </c>
      <c r="O171" s="24" t="s">
        <v>15</v>
      </c>
      <c r="P171" s="21">
        <f>SUM(J171*M171)</f>
        <v>7000000</v>
      </c>
      <c r="Q171" s="12" t="s">
        <v>9</v>
      </c>
    </row>
    <row r="172" spans="1:17" ht="15.95" customHeight="1">
      <c r="A172" s="212"/>
      <c r="B172" s="64"/>
      <c r="C172" s="594"/>
      <c r="D172" s="557"/>
      <c r="E172" s="544"/>
      <c r="F172" s="429"/>
      <c r="G172" s="555"/>
      <c r="H172" s="550"/>
      <c r="I172" s="267" t="s">
        <v>430</v>
      </c>
      <c r="J172" s="87">
        <v>400000</v>
      </c>
      <c r="K172" s="121" t="s">
        <v>9</v>
      </c>
      <c r="L172" s="89" t="s">
        <v>16</v>
      </c>
      <c r="M172" s="88">
        <v>12</v>
      </c>
      <c r="N172" s="436" t="s">
        <v>23</v>
      </c>
      <c r="O172" s="24" t="s">
        <v>15</v>
      </c>
      <c r="P172" s="21">
        <f>SUM(J172*M172)</f>
        <v>4800000</v>
      </c>
      <c r="Q172" s="12" t="s">
        <v>9</v>
      </c>
    </row>
    <row r="173" spans="1:17" ht="15.95" customHeight="1">
      <c r="A173" s="212"/>
      <c r="B173" s="64"/>
      <c r="C173" s="595"/>
      <c r="D173" s="558"/>
      <c r="E173" s="545"/>
      <c r="F173" s="428"/>
      <c r="G173" s="554"/>
      <c r="H173" s="550"/>
      <c r="I173" s="294" t="s">
        <v>431</v>
      </c>
      <c r="J173" s="87">
        <v>400000</v>
      </c>
      <c r="K173" s="121" t="s">
        <v>9</v>
      </c>
      <c r="L173" s="89" t="s">
        <v>16</v>
      </c>
      <c r="M173" s="88">
        <v>13</v>
      </c>
      <c r="N173" s="436" t="s">
        <v>23</v>
      </c>
      <c r="O173" s="24" t="s">
        <v>15</v>
      </c>
      <c r="P173" s="21">
        <f>SUM(J173*M173)</f>
        <v>5200000</v>
      </c>
      <c r="Q173" s="12" t="s">
        <v>9</v>
      </c>
    </row>
    <row r="174" spans="1:17" ht="15.95" customHeight="1">
      <c r="A174" s="212"/>
      <c r="B174" s="64"/>
      <c r="C174" s="596" t="s">
        <v>434</v>
      </c>
      <c r="D174" s="556">
        <v>200</v>
      </c>
      <c r="E174" s="543">
        <f>+P174/1000</f>
        <v>200</v>
      </c>
      <c r="F174" s="546">
        <v>346</v>
      </c>
      <c r="G174" s="553">
        <f>+E174-D174</f>
        <v>0</v>
      </c>
      <c r="H174" s="549">
        <v>0</v>
      </c>
      <c r="I174" s="445"/>
      <c r="J174" s="71"/>
      <c r="K174" s="153"/>
      <c r="L174" s="70"/>
      <c r="M174" s="471" t="s">
        <v>55</v>
      </c>
      <c r="N174" s="471"/>
      <c r="O174" s="471"/>
      <c r="P174" s="71">
        <f>SUM(P175:P175)</f>
        <v>200000</v>
      </c>
      <c r="Q174" s="59" t="s">
        <v>9</v>
      </c>
    </row>
    <row r="175" spans="1:17" ht="19.5" customHeight="1">
      <c r="A175" s="212"/>
      <c r="B175" s="93"/>
      <c r="C175" s="597"/>
      <c r="D175" s="558"/>
      <c r="E175" s="545"/>
      <c r="F175" s="547"/>
      <c r="G175" s="554"/>
      <c r="H175" s="568"/>
      <c r="I175" s="225" t="s">
        <v>144</v>
      </c>
      <c r="J175" s="13">
        <v>100000</v>
      </c>
      <c r="K175" s="14" t="s">
        <v>9</v>
      </c>
      <c r="L175" s="15" t="s">
        <v>16</v>
      </c>
      <c r="M175" s="16">
        <v>2</v>
      </c>
      <c r="N175" s="16" t="s">
        <v>23</v>
      </c>
      <c r="O175" s="17" t="s">
        <v>15</v>
      </c>
      <c r="P175" s="13">
        <f>SUM(J175*M175)</f>
        <v>200000</v>
      </c>
      <c r="Q175" s="18" t="s">
        <v>9</v>
      </c>
    </row>
    <row r="176" spans="1:17" ht="20.100000000000001" customHeight="1">
      <c r="A176" s="290" t="s">
        <v>463</v>
      </c>
      <c r="B176" s="369" t="s">
        <v>235</v>
      </c>
      <c r="C176" s="440" t="s">
        <v>39</v>
      </c>
      <c r="D176" s="420">
        <f>SUM(D177:D177:D181)</f>
        <v>5900</v>
      </c>
      <c r="E176" s="425">
        <f>SUM(E177:E179)</f>
        <v>5462.5</v>
      </c>
      <c r="F176" s="427">
        <f>SUM(F177:F186)</f>
        <v>16820</v>
      </c>
      <c r="G176" s="422">
        <f>+E176-D176</f>
        <v>-437.5</v>
      </c>
      <c r="H176" s="433">
        <f>+G176/D176*100</f>
        <v>-7.4152542372881349</v>
      </c>
      <c r="I176" s="272"/>
      <c r="J176" s="159"/>
      <c r="K176" s="79"/>
      <c r="L176" s="160"/>
      <c r="M176" s="413"/>
      <c r="N176" s="413"/>
      <c r="O176" s="161"/>
      <c r="P176" s="159">
        <f>SUM(P177,P179)</f>
        <v>5462500</v>
      </c>
      <c r="Q176" s="113" t="s">
        <v>9</v>
      </c>
    </row>
    <row r="177" spans="1:31" ht="15.95" customHeight="1">
      <c r="A177" s="212"/>
      <c r="B177" s="64"/>
      <c r="C177" s="596" t="s">
        <v>216</v>
      </c>
      <c r="D177" s="556">
        <v>3000</v>
      </c>
      <c r="E177" s="543">
        <f>P177/1000</f>
        <v>3750</v>
      </c>
      <c r="F177" s="546">
        <v>300</v>
      </c>
      <c r="G177" s="553">
        <f>+E177-D177</f>
        <v>750</v>
      </c>
      <c r="H177" s="551">
        <f>G177/D177*100</f>
        <v>25</v>
      </c>
      <c r="I177" s="445"/>
      <c r="J177" s="63"/>
      <c r="K177" s="153"/>
      <c r="L177" s="70"/>
      <c r="M177" s="471" t="s">
        <v>55</v>
      </c>
      <c r="N177" s="471"/>
      <c r="O177" s="471"/>
      <c r="P177" s="63">
        <f>SUM(P178:P178)</f>
        <v>3750000</v>
      </c>
      <c r="Q177" s="59" t="s">
        <v>9</v>
      </c>
    </row>
    <row r="178" spans="1:31" ht="15.95" customHeight="1">
      <c r="A178" s="212"/>
      <c r="B178" s="64"/>
      <c r="C178" s="592"/>
      <c r="D178" s="557"/>
      <c r="E178" s="544"/>
      <c r="F178" s="548"/>
      <c r="G178" s="555"/>
      <c r="H178" s="552"/>
      <c r="I178" s="249" t="s">
        <v>6</v>
      </c>
      <c r="J178" s="21">
        <v>3750000</v>
      </c>
      <c r="K178" s="22" t="s">
        <v>9</v>
      </c>
      <c r="L178" s="23" t="s">
        <v>16</v>
      </c>
      <c r="M178" s="436">
        <v>1</v>
      </c>
      <c r="N178" s="436" t="s">
        <v>12</v>
      </c>
      <c r="O178" s="24" t="s">
        <v>15</v>
      </c>
      <c r="P178" s="21">
        <f>SUM(J178*M178)</f>
        <v>3750000</v>
      </c>
      <c r="Q178" s="12" t="s">
        <v>9</v>
      </c>
    </row>
    <row r="179" spans="1:31" ht="15.95" customHeight="1">
      <c r="A179" s="212"/>
      <c r="B179" s="64"/>
      <c r="C179" s="613" t="s">
        <v>286</v>
      </c>
      <c r="D179" s="556">
        <v>2900</v>
      </c>
      <c r="E179" s="543">
        <f>+P179/1000</f>
        <v>1712.5</v>
      </c>
      <c r="F179" s="546">
        <v>2900</v>
      </c>
      <c r="G179" s="553">
        <f>+E179-D179</f>
        <v>-1187.5</v>
      </c>
      <c r="H179" s="549">
        <f>+G179/D179*100</f>
        <v>-40.948275862068968</v>
      </c>
      <c r="I179" s="445"/>
      <c r="J179" s="71"/>
      <c r="K179" s="153"/>
      <c r="L179" s="70"/>
      <c r="M179" s="471" t="s">
        <v>55</v>
      </c>
      <c r="N179" s="471"/>
      <c r="O179" s="471"/>
      <c r="P179" s="71">
        <f>SUM(P180:P181)</f>
        <v>1712500</v>
      </c>
      <c r="Q179" s="59" t="s">
        <v>9</v>
      </c>
    </row>
    <row r="180" spans="1:31" ht="15.95" customHeight="1">
      <c r="A180" s="212"/>
      <c r="B180" s="64"/>
      <c r="C180" s="615"/>
      <c r="D180" s="557"/>
      <c r="E180" s="544"/>
      <c r="F180" s="548"/>
      <c r="G180" s="555">
        <f>+E180-D180</f>
        <v>0</v>
      </c>
      <c r="H180" s="550" t="e">
        <f>+G180/D180*100</f>
        <v>#DIV/0!</v>
      </c>
      <c r="I180" s="115" t="s">
        <v>87</v>
      </c>
      <c r="J180" s="21">
        <v>1300000</v>
      </c>
      <c r="K180" s="22" t="s">
        <v>9</v>
      </c>
      <c r="L180" s="23" t="s">
        <v>16</v>
      </c>
      <c r="M180" s="436">
        <v>1</v>
      </c>
      <c r="N180" s="436" t="s">
        <v>23</v>
      </c>
      <c r="O180" s="24" t="s">
        <v>15</v>
      </c>
      <c r="P180" s="21">
        <f>SUM(J180*M180)</f>
        <v>1300000</v>
      </c>
      <c r="Q180" s="12" t="s">
        <v>9</v>
      </c>
    </row>
    <row r="181" spans="1:31" ht="15.95" customHeight="1">
      <c r="A181" s="212"/>
      <c r="B181" s="93"/>
      <c r="C181" s="616"/>
      <c r="D181" s="558"/>
      <c r="E181" s="545"/>
      <c r="F181" s="547"/>
      <c r="G181" s="554">
        <f>+E181-D181</f>
        <v>0</v>
      </c>
      <c r="H181" s="568" t="e">
        <f>+G181/D181*100</f>
        <v>#DIV/0!</v>
      </c>
      <c r="I181" s="225" t="s">
        <v>402</v>
      </c>
      <c r="J181" s="13">
        <v>412500</v>
      </c>
      <c r="K181" s="14" t="s">
        <v>9</v>
      </c>
      <c r="L181" s="15" t="s">
        <v>16</v>
      </c>
      <c r="M181" s="16">
        <v>1</v>
      </c>
      <c r="N181" s="16" t="s">
        <v>23</v>
      </c>
      <c r="O181" s="17" t="s">
        <v>15</v>
      </c>
      <c r="P181" s="13">
        <f>SUM(J181*M181)</f>
        <v>412500</v>
      </c>
      <c r="Q181" s="18" t="s">
        <v>9</v>
      </c>
    </row>
    <row r="182" spans="1:31" ht="20.100000000000001" customHeight="1">
      <c r="A182" s="281"/>
      <c r="B182" s="632" t="s">
        <v>231</v>
      </c>
      <c r="C182" s="440" t="s">
        <v>39</v>
      </c>
      <c r="D182" s="442">
        <f>SUM(D183:D186)</f>
        <v>20510</v>
      </c>
      <c r="E182" s="431">
        <f>P182/1000</f>
        <v>22210</v>
      </c>
      <c r="F182" s="427"/>
      <c r="G182" s="431">
        <f>E182-D182</f>
        <v>1700</v>
      </c>
      <c r="H182" s="421">
        <f>G182/D182*100</f>
        <v>8.2886396879570938</v>
      </c>
      <c r="I182" s="445"/>
      <c r="J182" s="71"/>
      <c r="K182" s="153"/>
      <c r="L182" s="70"/>
      <c r="M182" s="398"/>
      <c r="N182" s="398"/>
      <c r="O182" s="162"/>
      <c r="P182" s="71">
        <f>P183</f>
        <v>22210000</v>
      </c>
      <c r="Q182" s="59" t="s">
        <v>9</v>
      </c>
    </row>
    <row r="183" spans="1:31" ht="15.95" customHeight="1">
      <c r="A183" s="288"/>
      <c r="B183" s="633"/>
      <c r="C183" s="593" t="s">
        <v>109</v>
      </c>
      <c r="D183" s="556">
        <v>20510</v>
      </c>
      <c r="E183" s="543">
        <f>+P183/1000</f>
        <v>22210</v>
      </c>
      <c r="F183" s="546">
        <v>13620</v>
      </c>
      <c r="G183" s="553">
        <f>+E183-D183</f>
        <v>1700</v>
      </c>
      <c r="H183" s="549">
        <f>+G183/D183*100</f>
        <v>8.2886396879570938</v>
      </c>
      <c r="I183" s="445"/>
      <c r="J183" s="71"/>
      <c r="K183" s="153"/>
      <c r="L183" s="70"/>
      <c r="M183" s="471" t="s">
        <v>55</v>
      </c>
      <c r="N183" s="471"/>
      <c r="O183" s="471"/>
      <c r="P183" s="71">
        <f>SUM(P184:P186)</f>
        <v>22210000</v>
      </c>
      <c r="Q183" s="59" t="s">
        <v>9</v>
      </c>
    </row>
    <row r="184" spans="1:31" ht="15.95" customHeight="1">
      <c r="A184" s="288"/>
      <c r="B184" s="64"/>
      <c r="C184" s="594"/>
      <c r="D184" s="557"/>
      <c r="E184" s="544"/>
      <c r="F184" s="548"/>
      <c r="G184" s="555"/>
      <c r="H184" s="550"/>
      <c r="I184" s="390" t="s">
        <v>213</v>
      </c>
      <c r="J184" s="21">
        <v>4580000</v>
      </c>
      <c r="K184" s="22" t="s">
        <v>9</v>
      </c>
      <c r="L184" s="23" t="s">
        <v>16</v>
      </c>
      <c r="M184" s="436">
        <v>3</v>
      </c>
      <c r="N184" s="436" t="s">
        <v>23</v>
      </c>
      <c r="O184" s="24" t="s">
        <v>15</v>
      </c>
      <c r="P184" s="21">
        <f t="shared" ref="P184:P186" si="10">SUM(J184*M184)</f>
        <v>13740000</v>
      </c>
      <c r="Q184" s="12" t="s">
        <v>9</v>
      </c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2"/>
      <c r="AE184" s="52"/>
    </row>
    <row r="185" spans="1:31" ht="15.95" customHeight="1">
      <c r="A185" s="288"/>
      <c r="B185" s="64"/>
      <c r="C185" s="594"/>
      <c r="D185" s="557"/>
      <c r="E185" s="544"/>
      <c r="F185" s="548"/>
      <c r="G185" s="555"/>
      <c r="H185" s="550"/>
      <c r="I185" s="115" t="s">
        <v>469</v>
      </c>
      <c r="J185" s="21">
        <v>3750000</v>
      </c>
      <c r="K185" s="22" t="s">
        <v>9</v>
      </c>
      <c r="L185" s="23" t="s">
        <v>16</v>
      </c>
      <c r="M185" s="436">
        <v>2</v>
      </c>
      <c r="N185" s="436" t="s">
        <v>23</v>
      </c>
      <c r="O185" s="24" t="s">
        <v>15</v>
      </c>
      <c r="P185" s="21">
        <f t="shared" si="10"/>
        <v>7500000</v>
      </c>
      <c r="Q185" s="12" t="s">
        <v>9</v>
      </c>
    </row>
    <row r="186" spans="1:31" ht="15.95" customHeight="1">
      <c r="A186" s="288"/>
      <c r="B186" s="64"/>
      <c r="C186" s="594"/>
      <c r="D186" s="557"/>
      <c r="E186" s="544"/>
      <c r="F186" s="548"/>
      <c r="G186" s="555"/>
      <c r="H186" s="550"/>
      <c r="I186" s="115" t="s">
        <v>342</v>
      </c>
      <c r="J186" s="21">
        <v>970000</v>
      </c>
      <c r="K186" s="22" t="s">
        <v>9</v>
      </c>
      <c r="L186" s="23" t="s">
        <v>16</v>
      </c>
      <c r="M186" s="436">
        <v>1</v>
      </c>
      <c r="N186" s="436" t="s">
        <v>23</v>
      </c>
      <c r="O186" s="24" t="s">
        <v>15</v>
      </c>
      <c r="P186" s="21">
        <f t="shared" si="10"/>
        <v>970000</v>
      </c>
      <c r="Q186" s="12" t="s">
        <v>9</v>
      </c>
    </row>
    <row r="187" spans="1:31" ht="20.100000000000001" customHeight="1">
      <c r="A187" s="290"/>
      <c r="B187" s="369" t="s">
        <v>111</v>
      </c>
      <c r="C187" s="447" t="s">
        <v>39</v>
      </c>
      <c r="D187" s="452">
        <f>SUM(D188:D195)</f>
        <v>19400</v>
      </c>
      <c r="E187" s="449">
        <f>SUM(E188:E195)</f>
        <v>16745</v>
      </c>
      <c r="F187" s="437">
        <f>SUM(F188:F195)</f>
        <v>18973</v>
      </c>
      <c r="G187" s="451">
        <f>+E187-D187</f>
        <v>-2655</v>
      </c>
      <c r="H187" s="450">
        <f>+G187/D187*100</f>
        <v>-13.685567010309279</v>
      </c>
      <c r="I187" s="263"/>
      <c r="J187" s="159"/>
      <c r="K187" s="79"/>
      <c r="L187" s="160"/>
      <c r="M187" s="413"/>
      <c r="N187" s="413"/>
      <c r="O187" s="161"/>
      <c r="P187" s="295">
        <f>SUM(P188,P194)</f>
        <v>16745000</v>
      </c>
      <c r="Q187" s="113" t="s">
        <v>9</v>
      </c>
    </row>
    <row r="188" spans="1:31" ht="15.95" customHeight="1">
      <c r="A188" s="212"/>
      <c r="B188" s="64"/>
      <c r="C188" s="613" t="s">
        <v>224</v>
      </c>
      <c r="D188" s="556">
        <v>9400</v>
      </c>
      <c r="E188" s="543">
        <f>+P188/1000</f>
        <v>10200</v>
      </c>
      <c r="F188" s="546">
        <v>18973</v>
      </c>
      <c r="G188" s="553">
        <f>+E188-D188</f>
        <v>800</v>
      </c>
      <c r="H188" s="549">
        <f>+G188/D188*100</f>
        <v>8.5106382978723403</v>
      </c>
      <c r="I188" s="445"/>
      <c r="J188" s="71"/>
      <c r="K188" s="153"/>
      <c r="L188" s="70"/>
      <c r="M188" s="471" t="s">
        <v>55</v>
      </c>
      <c r="N188" s="471"/>
      <c r="O188" s="471"/>
      <c r="P188" s="71">
        <f>SUM(P189:P193)</f>
        <v>10200000</v>
      </c>
      <c r="Q188" s="59" t="s">
        <v>9</v>
      </c>
    </row>
    <row r="189" spans="1:31" ht="15.95" customHeight="1">
      <c r="A189" s="212"/>
      <c r="B189" s="64"/>
      <c r="C189" s="615"/>
      <c r="D189" s="557"/>
      <c r="E189" s="544"/>
      <c r="F189" s="548"/>
      <c r="G189" s="555"/>
      <c r="H189" s="550"/>
      <c r="I189" s="115" t="s">
        <v>202</v>
      </c>
      <c r="J189" s="21">
        <v>5000000</v>
      </c>
      <c r="K189" s="22" t="s">
        <v>9</v>
      </c>
      <c r="L189" s="23" t="s">
        <v>16</v>
      </c>
      <c r="M189" s="436">
        <v>1</v>
      </c>
      <c r="N189" s="436" t="s">
        <v>23</v>
      </c>
      <c r="O189" s="436" t="s">
        <v>15</v>
      </c>
      <c r="P189" s="21">
        <f>J189*M189</f>
        <v>5000000</v>
      </c>
      <c r="Q189" s="12" t="s">
        <v>9</v>
      </c>
    </row>
    <row r="190" spans="1:31" ht="15.95" customHeight="1">
      <c r="A190" s="212"/>
      <c r="B190" s="64"/>
      <c r="C190" s="615"/>
      <c r="D190" s="557"/>
      <c r="E190" s="544"/>
      <c r="F190" s="429"/>
      <c r="G190" s="555"/>
      <c r="H190" s="550"/>
      <c r="I190" s="115" t="s">
        <v>379</v>
      </c>
      <c r="J190" s="21">
        <v>560000</v>
      </c>
      <c r="K190" s="22" t="s">
        <v>9</v>
      </c>
      <c r="L190" s="23" t="s">
        <v>16</v>
      </c>
      <c r="M190" s="436">
        <v>1</v>
      </c>
      <c r="N190" s="436" t="s">
        <v>23</v>
      </c>
      <c r="O190" s="436" t="s">
        <v>15</v>
      </c>
      <c r="P190" s="21">
        <f>SUM(J190*M190)</f>
        <v>560000</v>
      </c>
      <c r="Q190" s="12" t="s">
        <v>9</v>
      </c>
    </row>
    <row r="191" spans="1:31" ht="15.95" customHeight="1">
      <c r="A191" s="212"/>
      <c r="B191" s="64"/>
      <c r="C191" s="615"/>
      <c r="D191" s="557"/>
      <c r="E191" s="544"/>
      <c r="F191" s="429"/>
      <c r="G191" s="555"/>
      <c r="H191" s="550"/>
      <c r="I191" s="115" t="s">
        <v>237</v>
      </c>
      <c r="J191" s="21">
        <v>1750000</v>
      </c>
      <c r="K191" s="22" t="s">
        <v>9</v>
      </c>
      <c r="L191" s="23" t="s">
        <v>16</v>
      </c>
      <c r="M191" s="436">
        <v>2</v>
      </c>
      <c r="N191" s="436" t="s">
        <v>23</v>
      </c>
      <c r="O191" s="436" t="s">
        <v>15</v>
      </c>
      <c r="P191" s="21">
        <f>SUM(J191*M191)</f>
        <v>3500000</v>
      </c>
      <c r="Q191" s="12" t="s">
        <v>9</v>
      </c>
    </row>
    <row r="192" spans="1:31" ht="15.95" customHeight="1">
      <c r="A192" s="212"/>
      <c r="B192" s="64"/>
      <c r="C192" s="615"/>
      <c r="D192" s="557"/>
      <c r="E192" s="544"/>
      <c r="F192" s="429"/>
      <c r="G192" s="555"/>
      <c r="H192" s="550"/>
      <c r="I192" s="115" t="s">
        <v>236</v>
      </c>
      <c r="J192" s="21">
        <v>300000</v>
      </c>
      <c r="K192" s="22" t="s">
        <v>9</v>
      </c>
      <c r="L192" s="23" t="s">
        <v>16</v>
      </c>
      <c r="M192" s="436">
        <v>2</v>
      </c>
      <c r="N192" s="436" t="s">
        <v>23</v>
      </c>
      <c r="O192" s="436" t="s">
        <v>15</v>
      </c>
      <c r="P192" s="21">
        <f>SUM(J192*M192)</f>
        <v>600000</v>
      </c>
      <c r="Q192" s="12" t="s">
        <v>9</v>
      </c>
    </row>
    <row r="193" spans="1:17" ht="15.95" customHeight="1">
      <c r="A193" s="212"/>
      <c r="B193" s="64"/>
      <c r="C193" s="616"/>
      <c r="D193" s="558"/>
      <c r="E193" s="545"/>
      <c r="F193" s="429"/>
      <c r="G193" s="554"/>
      <c r="H193" s="568"/>
      <c r="I193" s="296" t="s">
        <v>249</v>
      </c>
      <c r="J193" s="21">
        <v>90000</v>
      </c>
      <c r="K193" s="121" t="s">
        <v>9</v>
      </c>
      <c r="L193" s="89" t="s">
        <v>16</v>
      </c>
      <c r="M193" s="88">
        <v>6</v>
      </c>
      <c r="N193" s="88" t="s">
        <v>23</v>
      </c>
      <c r="O193" s="90" t="s">
        <v>15</v>
      </c>
      <c r="P193" s="87">
        <f>SUM(J193*M193)</f>
        <v>540000</v>
      </c>
      <c r="Q193" s="91" t="s">
        <v>9</v>
      </c>
    </row>
    <row r="194" spans="1:17" ht="15.95" customHeight="1">
      <c r="A194" s="212"/>
      <c r="B194" s="64"/>
      <c r="C194" s="619" t="s">
        <v>70</v>
      </c>
      <c r="D194" s="606">
        <v>10000</v>
      </c>
      <c r="E194" s="643">
        <f>+P194/1000</f>
        <v>6545</v>
      </c>
      <c r="F194" s="670">
        <v>0</v>
      </c>
      <c r="G194" s="635">
        <f>+E194-D194</f>
        <v>-3455</v>
      </c>
      <c r="H194" s="638">
        <v>0</v>
      </c>
      <c r="I194" s="445"/>
      <c r="J194" s="132"/>
      <c r="K194" s="292"/>
      <c r="L194" s="293"/>
      <c r="M194" s="484" t="s">
        <v>55</v>
      </c>
      <c r="N194" s="484"/>
      <c r="O194" s="484"/>
      <c r="P194" s="132">
        <f>SUM(P195:P195)</f>
        <v>6545000</v>
      </c>
      <c r="Q194" s="127" t="s">
        <v>9</v>
      </c>
    </row>
    <row r="195" spans="1:17" ht="15.95" customHeight="1">
      <c r="A195" s="212"/>
      <c r="B195" s="64"/>
      <c r="C195" s="619"/>
      <c r="D195" s="606"/>
      <c r="E195" s="643"/>
      <c r="F195" s="670"/>
      <c r="G195" s="635"/>
      <c r="H195" s="638"/>
      <c r="I195" s="133" t="s">
        <v>318</v>
      </c>
      <c r="J195" s="87">
        <v>6545000</v>
      </c>
      <c r="K195" s="121" t="s">
        <v>9</v>
      </c>
      <c r="L195" s="89" t="s">
        <v>16</v>
      </c>
      <c r="M195" s="88">
        <v>1</v>
      </c>
      <c r="N195" s="88" t="s">
        <v>23</v>
      </c>
      <c r="O195" s="90" t="s">
        <v>15</v>
      </c>
      <c r="P195" s="87">
        <f>SUM(J195*M195)</f>
        <v>6545000</v>
      </c>
      <c r="Q195" s="91" t="s">
        <v>9</v>
      </c>
    </row>
    <row r="196" spans="1:17" ht="20.100000000000001" customHeight="1">
      <c r="A196" s="212"/>
      <c r="B196" s="391" t="s">
        <v>82</v>
      </c>
      <c r="C196" s="376" t="s">
        <v>39</v>
      </c>
      <c r="D196" s="449">
        <f>SUM(D197:D204)</f>
        <v>68475</v>
      </c>
      <c r="E196" s="449">
        <f>SUM(E197:E204)</f>
        <v>68475</v>
      </c>
      <c r="F196" s="297" t="e">
        <f>SUM(#REF!)</f>
        <v>#REF!</v>
      </c>
      <c r="G196" s="451">
        <f>E196-D196</f>
        <v>0</v>
      </c>
      <c r="H196" s="450">
        <f>+G196/D196*100</f>
        <v>0</v>
      </c>
      <c r="I196" s="272"/>
      <c r="J196" s="159"/>
      <c r="K196" s="79"/>
      <c r="L196" s="160"/>
      <c r="M196" s="413"/>
      <c r="N196" s="413"/>
      <c r="O196" s="161"/>
      <c r="P196" s="295">
        <f>SUM(P197,P200)</f>
        <v>68475000</v>
      </c>
      <c r="Q196" s="81" t="s">
        <v>9</v>
      </c>
    </row>
    <row r="197" spans="1:17" ht="15.95" customHeight="1">
      <c r="A197" s="212"/>
      <c r="B197" s="298"/>
      <c r="C197" s="613" t="s">
        <v>97</v>
      </c>
      <c r="D197" s="539">
        <v>30600</v>
      </c>
      <c r="E197" s="541">
        <f>+P197/1000</f>
        <v>30600</v>
      </c>
      <c r="F197" s="546">
        <v>661</v>
      </c>
      <c r="G197" s="553">
        <f>E197-D197</f>
        <v>0</v>
      </c>
      <c r="H197" s="571">
        <f>G197/D197*100</f>
        <v>0</v>
      </c>
      <c r="I197" s="444"/>
      <c r="J197" s="71"/>
      <c r="K197" s="153"/>
      <c r="L197" s="70"/>
      <c r="M197" s="471" t="s">
        <v>55</v>
      </c>
      <c r="N197" s="471"/>
      <c r="O197" s="471"/>
      <c r="P197" s="71">
        <f>SUM(P198:P199)</f>
        <v>30600000</v>
      </c>
      <c r="Q197" s="59" t="s">
        <v>9</v>
      </c>
    </row>
    <row r="198" spans="1:17" ht="15.95" customHeight="1">
      <c r="A198" s="212"/>
      <c r="B198" s="298"/>
      <c r="C198" s="615"/>
      <c r="D198" s="540"/>
      <c r="E198" s="542"/>
      <c r="F198" s="548"/>
      <c r="G198" s="555"/>
      <c r="H198" s="573"/>
      <c r="I198" s="19" t="s">
        <v>303</v>
      </c>
      <c r="J198" s="21">
        <v>15000000</v>
      </c>
      <c r="K198" s="22" t="s">
        <v>9</v>
      </c>
      <c r="L198" s="23" t="s">
        <v>16</v>
      </c>
      <c r="M198" s="436">
        <v>2</v>
      </c>
      <c r="N198" s="436" t="s">
        <v>23</v>
      </c>
      <c r="O198" s="436" t="s">
        <v>15</v>
      </c>
      <c r="P198" s="21">
        <f>+J198*M198</f>
        <v>30000000</v>
      </c>
      <c r="Q198" s="12" t="s">
        <v>9</v>
      </c>
    </row>
    <row r="199" spans="1:17" ht="15.95" customHeight="1">
      <c r="A199" s="212"/>
      <c r="B199" s="298"/>
      <c r="C199" s="615"/>
      <c r="D199" s="540"/>
      <c r="E199" s="542"/>
      <c r="F199" s="548"/>
      <c r="G199" s="555"/>
      <c r="H199" s="573"/>
      <c r="I199" s="19" t="s">
        <v>250</v>
      </c>
      <c r="J199" s="21">
        <v>300000</v>
      </c>
      <c r="K199" s="22" t="s">
        <v>13</v>
      </c>
      <c r="L199" s="23" t="s">
        <v>16</v>
      </c>
      <c r="M199" s="436">
        <v>2</v>
      </c>
      <c r="N199" s="436" t="s">
        <v>23</v>
      </c>
      <c r="O199" s="436" t="s">
        <v>15</v>
      </c>
      <c r="P199" s="21">
        <f>+J199*M199</f>
        <v>600000</v>
      </c>
      <c r="Q199" s="12" t="s">
        <v>9</v>
      </c>
    </row>
    <row r="200" spans="1:17" ht="15.95" customHeight="1">
      <c r="A200" s="299"/>
      <c r="B200" s="300"/>
      <c r="C200" s="613" t="s">
        <v>345</v>
      </c>
      <c r="D200" s="539">
        <v>37875</v>
      </c>
      <c r="E200" s="541">
        <f>+P200/1000</f>
        <v>37875</v>
      </c>
      <c r="F200" s="546">
        <v>661</v>
      </c>
      <c r="G200" s="635">
        <f>E200-D200</f>
        <v>0</v>
      </c>
      <c r="H200" s="571">
        <f>G200/D200*100</f>
        <v>0</v>
      </c>
      <c r="I200" s="124"/>
      <c r="J200" s="132"/>
      <c r="K200" s="292"/>
      <c r="L200" s="293"/>
      <c r="M200" s="484" t="s">
        <v>55</v>
      </c>
      <c r="N200" s="484"/>
      <c r="O200" s="484"/>
      <c r="P200" s="132">
        <f>SUM(P201:P204)</f>
        <v>37875000</v>
      </c>
      <c r="Q200" s="127" t="s">
        <v>9</v>
      </c>
    </row>
    <row r="201" spans="1:17" ht="15.95" customHeight="1">
      <c r="A201" s="212"/>
      <c r="B201" s="298"/>
      <c r="C201" s="615"/>
      <c r="D201" s="540"/>
      <c r="E201" s="542"/>
      <c r="F201" s="548"/>
      <c r="G201" s="635"/>
      <c r="H201" s="573"/>
      <c r="I201" s="235" t="s">
        <v>381</v>
      </c>
      <c r="J201" s="87">
        <v>637500</v>
      </c>
      <c r="K201" s="22" t="s">
        <v>9</v>
      </c>
      <c r="L201" s="23" t="s">
        <v>16</v>
      </c>
      <c r="M201" s="436">
        <v>10</v>
      </c>
      <c r="N201" s="436" t="s">
        <v>13</v>
      </c>
      <c r="O201" s="24" t="s">
        <v>15</v>
      </c>
      <c r="P201" s="87">
        <f>+J201*M201</f>
        <v>6375000</v>
      </c>
      <c r="Q201" s="12" t="s">
        <v>9</v>
      </c>
    </row>
    <row r="202" spans="1:17" ht="15.95" customHeight="1">
      <c r="A202" s="212"/>
      <c r="B202" s="298"/>
      <c r="C202" s="615"/>
      <c r="D202" s="540"/>
      <c r="E202" s="542"/>
      <c r="F202" s="548"/>
      <c r="G202" s="635"/>
      <c r="H202" s="573"/>
      <c r="I202" s="235" t="s">
        <v>95</v>
      </c>
      <c r="J202" s="87">
        <v>70000</v>
      </c>
      <c r="K202" s="22" t="s">
        <v>9</v>
      </c>
      <c r="L202" s="23" t="s">
        <v>16</v>
      </c>
      <c r="M202" s="436">
        <v>350</v>
      </c>
      <c r="N202" s="436" t="s">
        <v>23</v>
      </c>
      <c r="O202" s="24" t="s">
        <v>15</v>
      </c>
      <c r="P202" s="87">
        <f>+J202*M202</f>
        <v>24500000</v>
      </c>
      <c r="Q202" s="12" t="s">
        <v>9</v>
      </c>
    </row>
    <row r="203" spans="1:17" ht="15.95" customHeight="1">
      <c r="A203" s="212"/>
      <c r="B203" s="298"/>
      <c r="C203" s="615"/>
      <c r="D203" s="540"/>
      <c r="E203" s="542"/>
      <c r="F203" s="548"/>
      <c r="G203" s="635"/>
      <c r="H203" s="573"/>
      <c r="I203" s="375" t="s">
        <v>375</v>
      </c>
      <c r="J203" s="87">
        <v>5000000</v>
      </c>
      <c r="K203" s="121" t="s">
        <v>9</v>
      </c>
      <c r="L203" s="89" t="s">
        <v>16</v>
      </c>
      <c r="M203" s="88">
        <v>1</v>
      </c>
      <c r="N203" s="88" t="s">
        <v>23</v>
      </c>
      <c r="O203" s="90" t="s">
        <v>15</v>
      </c>
      <c r="P203" s="87">
        <f>+J203*M203</f>
        <v>5000000</v>
      </c>
      <c r="Q203" s="91" t="s">
        <v>9</v>
      </c>
    </row>
    <row r="204" spans="1:17" ht="15.95" customHeight="1">
      <c r="A204" s="212"/>
      <c r="B204" s="377"/>
      <c r="C204" s="616"/>
      <c r="D204" s="579"/>
      <c r="E204" s="580"/>
      <c r="F204" s="547"/>
      <c r="G204" s="635"/>
      <c r="H204" s="572"/>
      <c r="I204" s="301" t="s">
        <v>456</v>
      </c>
      <c r="J204" s="101">
        <v>2000000</v>
      </c>
      <c r="K204" s="273" t="s">
        <v>9</v>
      </c>
      <c r="L204" s="99" t="s">
        <v>16</v>
      </c>
      <c r="M204" s="98">
        <v>1</v>
      </c>
      <c r="N204" s="98" t="s">
        <v>23</v>
      </c>
      <c r="O204" s="100" t="s">
        <v>15</v>
      </c>
      <c r="P204" s="101">
        <f>+J204*M204</f>
        <v>2000000</v>
      </c>
      <c r="Q204" s="102" t="s">
        <v>9</v>
      </c>
    </row>
    <row r="205" spans="1:17" ht="20.100000000000001" customHeight="1">
      <c r="A205" s="265" t="s">
        <v>484</v>
      </c>
      <c r="B205" s="369" t="s">
        <v>136</v>
      </c>
      <c r="C205" s="430" t="s">
        <v>39</v>
      </c>
      <c r="D205" s="438">
        <f>SUM(D206:D215)</f>
        <v>16688</v>
      </c>
      <c r="E205" s="426">
        <f>SUM(E206:E215)</f>
        <v>16688</v>
      </c>
      <c r="F205" s="429">
        <f>SUM(F206:F215)</f>
        <v>16571</v>
      </c>
      <c r="G205" s="423">
        <f>+E205-D205</f>
        <v>0</v>
      </c>
      <c r="H205" s="434">
        <f>+G205/D205*100</f>
        <v>0</v>
      </c>
      <c r="I205" s="419"/>
      <c r="J205" s="87"/>
      <c r="K205" s="121"/>
      <c r="L205" s="99"/>
      <c r="M205" s="98"/>
      <c r="N205" s="98"/>
      <c r="O205" s="100"/>
      <c r="P205" s="101">
        <f>SUM(P206,P213)</f>
        <v>16688000</v>
      </c>
      <c r="Q205" s="102" t="s">
        <v>9</v>
      </c>
    </row>
    <row r="206" spans="1:17" ht="15.95" customHeight="1">
      <c r="A206" s="212"/>
      <c r="B206" s="302"/>
      <c r="C206" s="593" t="s">
        <v>108</v>
      </c>
      <c r="D206" s="539">
        <v>12088</v>
      </c>
      <c r="E206" s="541">
        <f>+P206/1000</f>
        <v>12088</v>
      </c>
      <c r="F206" s="546">
        <v>9358</v>
      </c>
      <c r="G206" s="569">
        <f>+E206-D206</f>
        <v>0</v>
      </c>
      <c r="H206" s="571">
        <f>+G206/D206*100</f>
        <v>0</v>
      </c>
      <c r="I206" s="303"/>
      <c r="J206" s="132"/>
      <c r="K206" s="292"/>
      <c r="L206" s="292"/>
      <c r="M206" s="484" t="s">
        <v>55</v>
      </c>
      <c r="N206" s="484"/>
      <c r="O206" s="484"/>
      <c r="P206" s="304">
        <f>SUM(P207:P212)</f>
        <v>12088000</v>
      </c>
      <c r="Q206" s="127" t="s">
        <v>9</v>
      </c>
    </row>
    <row r="207" spans="1:17" ht="15.95" customHeight="1">
      <c r="A207" s="212"/>
      <c r="B207" s="64"/>
      <c r="C207" s="594"/>
      <c r="D207" s="540"/>
      <c r="E207" s="542"/>
      <c r="F207" s="548"/>
      <c r="G207" s="570"/>
      <c r="H207" s="573"/>
      <c r="I207" s="419" t="s">
        <v>91</v>
      </c>
      <c r="J207" s="87">
        <v>24000</v>
      </c>
      <c r="K207" s="121" t="s">
        <v>9</v>
      </c>
      <c r="L207" s="89" t="s">
        <v>16</v>
      </c>
      <c r="M207" s="88">
        <v>12</v>
      </c>
      <c r="N207" s="88" t="s">
        <v>13</v>
      </c>
      <c r="O207" s="90" t="s">
        <v>15</v>
      </c>
      <c r="P207" s="87">
        <f t="shared" ref="P207:P211" si="11">SUM(J207*M207)</f>
        <v>288000</v>
      </c>
      <c r="Q207" s="91" t="s">
        <v>9</v>
      </c>
    </row>
    <row r="208" spans="1:17" ht="15.95" customHeight="1">
      <c r="A208" s="212"/>
      <c r="B208" s="64"/>
      <c r="C208" s="594"/>
      <c r="D208" s="540"/>
      <c r="E208" s="542"/>
      <c r="F208" s="548"/>
      <c r="G208" s="570"/>
      <c r="H208" s="573"/>
      <c r="I208" s="419" t="s">
        <v>205</v>
      </c>
      <c r="J208" s="87">
        <v>350000</v>
      </c>
      <c r="K208" s="121" t="s">
        <v>9</v>
      </c>
      <c r="L208" s="89" t="s">
        <v>16</v>
      </c>
      <c r="M208" s="88">
        <v>12</v>
      </c>
      <c r="N208" s="88" t="s">
        <v>13</v>
      </c>
      <c r="O208" s="90" t="s">
        <v>15</v>
      </c>
      <c r="P208" s="87">
        <f t="shared" si="11"/>
        <v>4200000</v>
      </c>
      <c r="Q208" s="91" t="s">
        <v>9</v>
      </c>
    </row>
    <row r="209" spans="1:17" ht="15.95" customHeight="1">
      <c r="A209" s="212"/>
      <c r="B209" s="64"/>
      <c r="C209" s="594"/>
      <c r="D209" s="540"/>
      <c r="E209" s="542"/>
      <c r="F209" s="548"/>
      <c r="G209" s="570"/>
      <c r="H209" s="573"/>
      <c r="I209" s="419" t="s">
        <v>377</v>
      </c>
      <c r="J209" s="87">
        <v>100000</v>
      </c>
      <c r="K209" s="121" t="s">
        <v>9</v>
      </c>
      <c r="L209" s="89" t="s">
        <v>16</v>
      </c>
      <c r="M209" s="88">
        <v>12</v>
      </c>
      <c r="N209" s="88" t="s">
        <v>13</v>
      </c>
      <c r="O209" s="90" t="s">
        <v>15</v>
      </c>
      <c r="P209" s="87">
        <f t="shared" si="11"/>
        <v>1200000</v>
      </c>
      <c r="Q209" s="91" t="s">
        <v>9</v>
      </c>
    </row>
    <row r="210" spans="1:17" ht="15.95" customHeight="1">
      <c r="A210" s="212"/>
      <c r="B210" s="64"/>
      <c r="C210" s="594"/>
      <c r="D210" s="540"/>
      <c r="E210" s="542"/>
      <c r="F210" s="548"/>
      <c r="G210" s="570"/>
      <c r="H210" s="573"/>
      <c r="I210" s="419" t="s">
        <v>312</v>
      </c>
      <c r="J210" s="87">
        <v>400000</v>
      </c>
      <c r="K210" s="121" t="s">
        <v>9</v>
      </c>
      <c r="L210" s="89" t="s">
        <v>16</v>
      </c>
      <c r="M210" s="88">
        <v>12</v>
      </c>
      <c r="N210" s="88" t="s">
        <v>13</v>
      </c>
      <c r="O210" s="90" t="s">
        <v>15</v>
      </c>
      <c r="P210" s="87">
        <f t="shared" si="11"/>
        <v>4800000</v>
      </c>
      <c r="Q210" s="91" t="s">
        <v>9</v>
      </c>
    </row>
    <row r="211" spans="1:17" ht="15.95" customHeight="1">
      <c r="A211" s="212"/>
      <c r="B211" s="64"/>
      <c r="C211" s="594"/>
      <c r="D211" s="540"/>
      <c r="E211" s="542"/>
      <c r="F211" s="548"/>
      <c r="G211" s="570"/>
      <c r="H211" s="573"/>
      <c r="I211" s="419" t="s">
        <v>401</v>
      </c>
      <c r="J211" s="87">
        <v>100000</v>
      </c>
      <c r="K211" s="121" t="s">
        <v>9</v>
      </c>
      <c r="L211" s="89" t="s">
        <v>16</v>
      </c>
      <c r="M211" s="88">
        <v>12</v>
      </c>
      <c r="N211" s="88" t="s">
        <v>23</v>
      </c>
      <c r="O211" s="90" t="s">
        <v>15</v>
      </c>
      <c r="P211" s="87">
        <f t="shared" si="11"/>
        <v>1200000</v>
      </c>
      <c r="Q211" s="91" t="s">
        <v>9</v>
      </c>
    </row>
    <row r="212" spans="1:17" ht="15.95" customHeight="1">
      <c r="A212" s="212"/>
      <c r="B212" s="64"/>
      <c r="C212" s="594"/>
      <c r="D212" s="540"/>
      <c r="E212" s="542"/>
      <c r="F212" s="429"/>
      <c r="G212" s="570"/>
      <c r="H212" s="573"/>
      <c r="I212" s="419" t="s">
        <v>241</v>
      </c>
      <c r="J212" s="87">
        <v>400000</v>
      </c>
      <c r="K212" s="121" t="s">
        <v>9</v>
      </c>
      <c r="L212" s="89" t="s">
        <v>16</v>
      </c>
      <c r="M212" s="88">
        <v>1</v>
      </c>
      <c r="N212" s="88" t="s">
        <v>23</v>
      </c>
      <c r="O212" s="90" t="s">
        <v>15</v>
      </c>
      <c r="P212" s="87">
        <f>J212*M212</f>
        <v>400000</v>
      </c>
      <c r="Q212" s="91" t="s">
        <v>9</v>
      </c>
    </row>
    <row r="213" spans="1:17" ht="15.95" customHeight="1">
      <c r="A213" s="212"/>
      <c r="B213" s="64"/>
      <c r="C213" s="593" t="s">
        <v>135</v>
      </c>
      <c r="D213" s="539">
        <v>4600</v>
      </c>
      <c r="E213" s="541">
        <f>+P213/1000</f>
        <v>4600</v>
      </c>
      <c r="F213" s="546">
        <v>7213</v>
      </c>
      <c r="G213" s="569">
        <f>+E213-D213</f>
        <v>0</v>
      </c>
      <c r="H213" s="571"/>
      <c r="I213" s="303"/>
      <c r="J213" s="132"/>
      <c r="K213" s="292"/>
      <c r="L213" s="293"/>
      <c r="M213" s="484" t="s">
        <v>55</v>
      </c>
      <c r="N213" s="484"/>
      <c r="O213" s="484"/>
      <c r="P213" s="304">
        <f>SUM(P214:P215)</f>
        <v>4600000</v>
      </c>
      <c r="Q213" s="127" t="s">
        <v>9</v>
      </c>
    </row>
    <row r="214" spans="1:17" ht="15.95" customHeight="1">
      <c r="A214" s="212"/>
      <c r="B214" s="64"/>
      <c r="C214" s="594"/>
      <c r="D214" s="620"/>
      <c r="E214" s="669"/>
      <c r="F214" s="548"/>
      <c r="G214" s="630"/>
      <c r="H214" s="662"/>
      <c r="I214" s="305" t="s">
        <v>192</v>
      </c>
      <c r="J214" s="87">
        <v>300000</v>
      </c>
      <c r="K214" s="121" t="s">
        <v>9</v>
      </c>
      <c r="L214" s="89" t="s">
        <v>16</v>
      </c>
      <c r="M214" s="88">
        <v>12</v>
      </c>
      <c r="N214" s="88" t="s">
        <v>23</v>
      </c>
      <c r="O214" s="90"/>
      <c r="P214" s="87">
        <f>SUM(J214*M214)</f>
        <v>3600000</v>
      </c>
      <c r="Q214" s="91" t="s">
        <v>9</v>
      </c>
    </row>
    <row r="215" spans="1:17" ht="15.95" customHeight="1">
      <c r="A215" s="212"/>
      <c r="B215" s="64"/>
      <c r="C215" s="594"/>
      <c r="D215" s="620"/>
      <c r="E215" s="669"/>
      <c r="F215" s="548"/>
      <c r="G215" s="630"/>
      <c r="H215" s="662"/>
      <c r="I215" s="419" t="s">
        <v>225</v>
      </c>
      <c r="J215" s="87">
        <v>1000000</v>
      </c>
      <c r="K215" s="121" t="s">
        <v>9</v>
      </c>
      <c r="L215" s="89" t="s">
        <v>16</v>
      </c>
      <c r="M215" s="88">
        <v>1</v>
      </c>
      <c r="N215" s="88" t="s">
        <v>23</v>
      </c>
      <c r="O215" s="90" t="s">
        <v>15</v>
      </c>
      <c r="P215" s="87">
        <f>SUM(J215*M215)</f>
        <v>1000000</v>
      </c>
      <c r="Q215" s="91" t="s">
        <v>9</v>
      </c>
    </row>
    <row r="216" spans="1:17" ht="18" customHeight="1">
      <c r="A216" s="41"/>
      <c r="B216" s="369" t="s">
        <v>90</v>
      </c>
      <c r="C216" s="446" t="s">
        <v>39</v>
      </c>
      <c r="D216" s="452">
        <f>SUM(D217:D218)</f>
        <v>46000</v>
      </c>
      <c r="E216" s="449">
        <f>SUM(E217:E218)</f>
        <v>46000</v>
      </c>
      <c r="F216" s="437">
        <f>SUM(F217:F218)</f>
        <v>2500</v>
      </c>
      <c r="G216" s="451">
        <f>+E216-D216</f>
        <v>0</v>
      </c>
      <c r="H216" s="450">
        <f>+G216/D216*100</f>
        <v>0</v>
      </c>
      <c r="I216" s="272"/>
      <c r="J216" s="159"/>
      <c r="K216" s="79"/>
      <c r="L216" s="160"/>
      <c r="M216" s="413"/>
      <c r="N216" s="413"/>
      <c r="O216" s="161"/>
      <c r="P216" s="159">
        <f>P217</f>
        <v>46000000</v>
      </c>
      <c r="Q216" s="113" t="s">
        <v>9</v>
      </c>
    </row>
    <row r="217" spans="1:17" ht="18" customHeight="1">
      <c r="A217" s="60"/>
      <c r="B217" s="392" t="s">
        <v>62</v>
      </c>
      <c r="C217" s="613" t="s">
        <v>341</v>
      </c>
      <c r="D217" s="539">
        <v>46000</v>
      </c>
      <c r="E217" s="541">
        <f>+P217/1000</f>
        <v>46000</v>
      </c>
      <c r="F217" s="546">
        <v>2500</v>
      </c>
      <c r="G217" s="569">
        <f>+E217-D217</f>
        <v>0</v>
      </c>
      <c r="H217" s="574">
        <f>+G217/D217*100</f>
        <v>0</v>
      </c>
      <c r="I217" s="645"/>
      <c r="J217" s="646"/>
      <c r="K217" s="153"/>
      <c r="L217" s="398"/>
      <c r="M217" s="471" t="s">
        <v>55</v>
      </c>
      <c r="N217" s="471"/>
      <c r="O217" s="471"/>
      <c r="P217" s="63">
        <f>SUM(P218:P219)</f>
        <v>46000000</v>
      </c>
      <c r="Q217" s="59" t="s">
        <v>9</v>
      </c>
    </row>
    <row r="218" spans="1:17" ht="18" customHeight="1">
      <c r="A218" s="60"/>
      <c r="B218" s="397"/>
      <c r="C218" s="615"/>
      <c r="D218" s="540"/>
      <c r="E218" s="542"/>
      <c r="F218" s="547"/>
      <c r="G218" s="570"/>
      <c r="H218" s="575"/>
      <c r="I218" s="19" t="s">
        <v>99</v>
      </c>
      <c r="J218" s="72">
        <v>10000000</v>
      </c>
      <c r="K218" s="22" t="s">
        <v>9</v>
      </c>
      <c r="L218" s="23" t="s">
        <v>16</v>
      </c>
      <c r="M218" s="436">
        <v>1</v>
      </c>
      <c r="N218" s="436" t="s">
        <v>23</v>
      </c>
      <c r="O218" s="24" t="s">
        <v>15</v>
      </c>
      <c r="P218" s="72">
        <f>SUM(J218*M218)</f>
        <v>10000000</v>
      </c>
      <c r="Q218" s="12" t="s">
        <v>9</v>
      </c>
    </row>
    <row r="219" spans="1:17" ht="18" customHeight="1">
      <c r="A219" s="92"/>
      <c r="B219" s="402"/>
      <c r="C219" s="616"/>
      <c r="D219" s="579"/>
      <c r="E219" s="580"/>
      <c r="F219" s="429"/>
      <c r="G219" s="577"/>
      <c r="H219" s="576"/>
      <c r="I219" s="248" t="s">
        <v>336</v>
      </c>
      <c r="J219" s="72">
        <v>18000000</v>
      </c>
      <c r="K219" s="22" t="s">
        <v>9</v>
      </c>
      <c r="L219" s="23" t="s">
        <v>16</v>
      </c>
      <c r="M219" s="436">
        <v>2</v>
      </c>
      <c r="N219" s="436" t="s">
        <v>23</v>
      </c>
      <c r="O219" s="24" t="s">
        <v>15</v>
      </c>
      <c r="P219" s="72">
        <f>SUM(J219*M219)</f>
        <v>36000000</v>
      </c>
      <c r="Q219" s="12" t="s">
        <v>9</v>
      </c>
    </row>
    <row r="220" spans="1:17" ht="20.100000000000001" customHeight="1">
      <c r="A220" s="73" t="s">
        <v>33</v>
      </c>
      <c r="B220" s="494" t="s">
        <v>22</v>
      </c>
      <c r="C220" s="634"/>
      <c r="D220" s="230">
        <f>+D221</f>
        <v>35000</v>
      </c>
      <c r="E220" s="230">
        <f>+E221</f>
        <v>35000</v>
      </c>
      <c r="F220" s="231"/>
      <c r="G220" s="232">
        <f>+E220-D220</f>
        <v>0</v>
      </c>
      <c r="H220" s="306">
        <f>+G220/D220*100</f>
        <v>0</v>
      </c>
      <c r="I220" s="445"/>
      <c r="J220" s="63"/>
      <c r="K220" s="153"/>
      <c r="L220" s="70"/>
      <c r="M220" s="398"/>
      <c r="N220" s="398"/>
      <c r="O220" s="162"/>
      <c r="P220" s="237">
        <f>P221</f>
        <v>35000000</v>
      </c>
      <c r="Q220" s="167" t="s">
        <v>9</v>
      </c>
    </row>
    <row r="221" spans="1:17" ht="15.95" customHeight="1">
      <c r="A221" s="60"/>
      <c r="B221" s="228" t="s">
        <v>33</v>
      </c>
      <c r="C221" s="593" t="s">
        <v>33</v>
      </c>
      <c r="D221" s="539">
        <v>35000</v>
      </c>
      <c r="E221" s="541">
        <f>+P221/1000</f>
        <v>35000</v>
      </c>
      <c r="F221" s="427"/>
      <c r="G221" s="569">
        <f>+E221-D221</f>
        <v>0</v>
      </c>
      <c r="H221" s="574">
        <f>+G221/D221*100</f>
        <v>0</v>
      </c>
      <c r="I221" s="444"/>
      <c r="J221" s="71"/>
      <c r="K221" s="153"/>
      <c r="L221" s="70"/>
      <c r="M221" s="471" t="s">
        <v>55</v>
      </c>
      <c r="N221" s="471"/>
      <c r="O221" s="471"/>
      <c r="P221" s="63">
        <f>SUM(P222:P222)</f>
        <v>35000000</v>
      </c>
      <c r="Q221" s="59" t="s">
        <v>9</v>
      </c>
    </row>
    <row r="222" spans="1:17" ht="15.95" customHeight="1">
      <c r="A222" s="60"/>
      <c r="B222" s="397"/>
      <c r="C222" s="594"/>
      <c r="D222" s="540"/>
      <c r="E222" s="542"/>
      <c r="F222" s="429"/>
      <c r="G222" s="570"/>
      <c r="H222" s="575"/>
      <c r="I222" s="19" t="s">
        <v>346</v>
      </c>
      <c r="J222" s="21">
        <v>17500000</v>
      </c>
      <c r="K222" s="22" t="s">
        <v>9</v>
      </c>
      <c r="L222" s="23" t="s">
        <v>16</v>
      </c>
      <c r="M222" s="436">
        <v>2</v>
      </c>
      <c r="N222" s="436" t="s">
        <v>23</v>
      </c>
      <c r="O222" s="24" t="s">
        <v>15</v>
      </c>
      <c r="P222" s="84">
        <f>+J222*M222</f>
        <v>35000000</v>
      </c>
      <c r="Q222" s="12" t="s">
        <v>9</v>
      </c>
    </row>
    <row r="223" spans="1:17" ht="21.75" customHeight="1">
      <c r="A223" s="307" t="s">
        <v>51</v>
      </c>
      <c r="B223" s="493" t="s">
        <v>22</v>
      </c>
      <c r="C223" s="494"/>
      <c r="D223" s="308">
        <f>SUM(D224:D317)</f>
        <v>1413800</v>
      </c>
      <c r="E223" s="308">
        <f t="shared" ref="E223:E243" si="12">P223/1000</f>
        <v>1773067.00988</v>
      </c>
      <c r="F223" s="309" t="e">
        <f>SUM(F224:F232,F236:F316)</f>
        <v>#VALUE!</v>
      </c>
      <c r="G223" s="310">
        <f>+E223-D223</f>
        <v>359267.00988000003</v>
      </c>
      <c r="H223" s="306">
        <f t="shared" ref="H223:H235" si="13">+G223/D223*100</f>
        <v>25.411445033243741</v>
      </c>
      <c r="I223" s="263"/>
      <c r="J223" s="159"/>
      <c r="K223" s="79"/>
      <c r="L223" s="413"/>
      <c r="M223" s="413"/>
      <c r="N223" s="413"/>
      <c r="O223" s="413"/>
      <c r="P223" s="159">
        <f>SUM(P224:P317)</f>
        <v>1773067009.8800001</v>
      </c>
      <c r="Q223" s="113" t="s">
        <v>9</v>
      </c>
    </row>
    <row r="224" spans="1:17" ht="17.45" customHeight="1">
      <c r="A224" s="212"/>
      <c r="B224" s="399" t="s">
        <v>51</v>
      </c>
      <c r="C224" s="311" t="s">
        <v>169</v>
      </c>
      <c r="D224" s="312">
        <v>43000</v>
      </c>
      <c r="E224" s="452">
        <f t="shared" si="12"/>
        <v>43000</v>
      </c>
      <c r="F224" s="313"/>
      <c r="G224" s="451">
        <f t="shared" ref="G224:G232" si="14">E224-D224</f>
        <v>0</v>
      </c>
      <c r="H224" s="450">
        <f t="shared" si="13"/>
        <v>0</v>
      </c>
      <c r="I224" s="314" t="s">
        <v>71</v>
      </c>
      <c r="J224" s="63">
        <v>10750000</v>
      </c>
      <c r="K224" s="315" t="s">
        <v>9</v>
      </c>
      <c r="L224" s="316" t="s">
        <v>16</v>
      </c>
      <c r="M224" s="317">
        <v>4</v>
      </c>
      <c r="N224" s="317" t="s">
        <v>23</v>
      </c>
      <c r="O224" s="318" t="s">
        <v>15</v>
      </c>
      <c r="P224" s="63">
        <f>J224*M224</f>
        <v>43000000</v>
      </c>
      <c r="Q224" s="319" t="s">
        <v>9</v>
      </c>
    </row>
    <row r="225" spans="1:17" ht="17.45" customHeight="1">
      <c r="A225" s="212"/>
      <c r="B225" s="399"/>
      <c r="C225" s="320" t="s">
        <v>281</v>
      </c>
      <c r="D225" s="312">
        <v>40000</v>
      </c>
      <c r="E225" s="452">
        <f t="shared" si="12"/>
        <v>40000</v>
      </c>
      <c r="F225" s="313"/>
      <c r="G225" s="451">
        <f t="shared" si="14"/>
        <v>0</v>
      </c>
      <c r="H225" s="450">
        <f t="shared" si="13"/>
        <v>0</v>
      </c>
      <c r="I225" s="314" t="s">
        <v>71</v>
      </c>
      <c r="J225" s="72">
        <v>10000000</v>
      </c>
      <c r="K225" s="321" t="s">
        <v>9</v>
      </c>
      <c r="L225" s="322" t="s">
        <v>16</v>
      </c>
      <c r="M225" s="323">
        <v>4</v>
      </c>
      <c r="N225" s="323" t="s">
        <v>23</v>
      </c>
      <c r="O225" s="324" t="s">
        <v>15</v>
      </c>
      <c r="P225" s="72">
        <f t="shared" ref="P225:P287" si="15">J225*M225</f>
        <v>40000000</v>
      </c>
      <c r="Q225" s="325" t="s">
        <v>9</v>
      </c>
    </row>
    <row r="226" spans="1:17" ht="17.45" customHeight="1">
      <c r="A226" s="212"/>
      <c r="B226" s="399"/>
      <c r="C226" s="311" t="s">
        <v>206</v>
      </c>
      <c r="D226" s="452">
        <v>50000</v>
      </c>
      <c r="E226" s="452">
        <f t="shared" si="12"/>
        <v>55000</v>
      </c>
      <c r="F226" s="313"/>
      <c r="G226" s="451">
        <f t="shared" si="14"/>
        <v>5000</v>
      </c>
      <c r="H226" s="450">
        <f t="shared" si="13"/>
        <v>10</v>
      </c>
      <c r="I226" s="314" t="s">
        <v>473</v>
      </c>
      <c r="J226" s="72">
        <v>11000000</v>
      </c>
      <c r="K226" s="321" t="s">
        <v>9</v>
      </c>
      <c r="L226" s="322" t="s">
        <v>16</v>
      </c>
      <c r="M226" s="323">
        <v>5</v>
      </c>
      <c r="N226" s="323" t="s">
        <v>23</v>
      </c>
      <c r="O226" s="324" t="s">
        <v>15</v>
      </c>
      <c r="P226" s="72">
        <f t="shared" si="15"/>
        <v>55000000</v>
      </c>
      <c r="Q226" s="325" t="s">
        <v>9</v>
      </c>
    </row>
    <row r="227" spans="1:17" ht="17.45" customHeight="1">
      <c r="A227" s="212"/>
      <c r="B227" s="64"/>
      <c r="C227" s="311" t="s">
        <v>190</v>
      </c>
      <c r="D227" s="312">
        <v>48000</v>
      </c>
      <c r="E227" s="452">
        <f t="shared" si="12"/>
        <v>61000</v>
      </c>
      <c r="F227" s="313"/>
      <c r="G227" s="451">
        <f t="shared" si="14"/>
        <v>13000</v>
      </c>
      <c r="H227" s="450">
        <f t="shared" si="13"/>
        <v>27.083333333333332</v>
      </c>
      <c r="I227" s="314" t="s">
        <v>473</v>
      </c>
      <c r="J227" s="72">
        <v>12200000</v>
      </c>
      <c r="K227" s="321" t="s">
        <v>9</v>
      </c>
      <c r="L227" s="322" t="s">
        <v>16</v>
      </c>
      <c r="M227" s="323">
        <v>5</v>
      </c>
      <c r="N227" s="323" t="s">
        <v>23</v>
      </c>
      <c r="O227" s="324" t="s">
        <v>15</v>
      </c>
      <c r="P227" s="72">
        <f t="shared" si="15"/>
        <v>61000000</v>
      </c>
      <c r="Q227" s="325" t="s">
        <v>9</v>
      </c>
    </row>
    <row r="228" spans="1:17" ht="17.45" customHeight="1">
      <c r="A228" s="212"/>
      <c r="B228" s="64"/>
      <c r="C228" s="311" t="s">
        <v>130</v>
      </c>
      <c r="D228" s="452">
        <v>58000</v>
      </c>
      <c r="E228" s="452">
        <f t="shared" si="12"/>
        <v>58000</v>
      </c>
      <c r="F228" s="313"/>
      <c r="G228" s="451">
        <f t="shared" si="14"/>
        <v>0</v>
      </c>
      <c r="H228" s="450">
        <f t="shared" si="13"/>
        <v>0</v>
      </c>
      <c r="I228" s="314" t="s">
        <v>71</v>
      </c>
      <c r="J228" s="72">
        <v>14500000</v>
      </c>
      <c r="K228" s="321" t="s">
        <v>9</v>
      </c>
      <c r="L228" s="322" t="s">
        <v>16</v>
      </c>
      <c r="M228" s="323">
        <v>4</v>
      </c>
      <c r="N228" s="323" t="s">
        <v>23</v>
      </c>
      <c r="O228" s="324" t="s">
        <v>15</v>
      </c>
      <c r="P228" s="72">
        <f t="shared" si="15"/>
        <v>58000000</v>
      </c>
      <c r="Q228" s="325" t="s">
        <v>9</v>
      </c>
    </row>
    <row r="229" spans="1:17" ht="17.45" customHeight="1">
      <c r="A229" s="41"/>
      <c r="B229" s="399"/>
      <c r="C229" s="326" t="s">
        <v>210</v>
      </c>
      <c r="D229" s="327">
        <v>36000</v>
      </c>
      <c r="E229" s="439">
        <f t="shared" si="12"/>
        <v>36000</v>
      </c>
      <c r="F229" s="328"/>
      <c r="G229" s="424">
        <f t="shared" si="14"/>
        <v>0</v>
      </c>
      <c r="H229" s="435">
        <f t="shared" si="13"/>
        <v>0</v>
      </c>
      <c r="I229" s="314" t="s">
        <v>71</v>
      </c>
      <c r="J229" s="72">
        <v>9000000</v>
      </c>
      <c r="K229" s="321" t="s">
        <v>9</v>
      </c>
      <c r="L229" s="322" t="s">
        <v>16</v>
      </c>
      <c r="M229" s="323">
        <v>4</v>
      </c>
      <c r="N229" s="323" t="s">
        <v>23</v>
      </c>
      <c r="O229" s="324" t="s">
        <v>15</v>
      </c>
      <c r="P229" s="72">
        <f t="shared" si="15"/>
        <v>36000000</v>
      </c>
      <c r="Q229" s="325" t="s">
        <v>9</v>
      </c>
    </row>
    <row r="230" spans="1:17" ht="17.45" customHeight="1">
      <c r="A230" s="265"/>
      <c r="B230" s="399"/>
      <c r="C230" s="311" t="s">
        <v>200</v>
      </c>
      <c r="D230" s="312">
        <v>45000</v>
      </c>
      <c r="E230" s="452">
        <f t="shared" si="12"/>
        <v>48000</v>
      </c>
      <c r="F230" s="313"/>
      <c r="G230" s="451">
        <f t="shared" si="14"/>
        <v>3000</v>
      </c>
      <c r="H230" s="450">
        <f t="shared" si="13"/>
        <v>6.666666666666667</v>
      </c>
      <c r="I230" s="314" t="s">
        <v>473</v>
      </c>
      <c r="J230" s="72">
        <v>9600000</v>
      </c>
      <c r="K230" s="321" t="s">
        <v>9</v>
      </c>
      <c r="L230" s="322" t="s">
        <v>16</v>
      </c>
      <c r="M230" s="323">
        <v>5</v>
      </c>
      <c r="N230" s="323" t="s">
        <v>23</v>
      </c>
      <c r="O230" s="324" t="s">
        <v>15</v>
      </c>
      <c r="P230" s="72">
        <f t="shared" si="15"/>
        <v>48000000</v>
      </c>
      <c r="Q230" s="325" t="s">
        <v>9</v>
      </c>
    </row>
    <row r="231" spans="1:17" ht="17.45" customHeight="1">
      <c r="A231" s="212"/>
      <c r="B231" s="64"/>
      <c r="C231" s="326" t="s">
        <v>160</v>
      </c>
      <c r="D231" s="327">
        <v>40000</v>
      </c>
      <c r="E231" s="439">
        <f t="shared" si="12"/>
        <v>40000</v>
      </c>
      <c r="F231" s="328"/>
      <c r="G231" s="424">
        <f t="shared" si="14"/>
        <v>0</v>
      </c>
      <c r="H231" s="435">
        <f t="shared" si="13"/>
        <v>0</v>
      </c>
      <c r="I231" s="314" t="s">
        <v>71</v>
      </c>
      <c r="J231" s="72">
        <v>10000000</v>
      </c>
      <c r="K231" s="321" t="s">
        <v>9</v>
      </c>
      <c r="L231" s="322" t="s">
        <v>16</v>
      </c>
      <c r="M231" s="323">
        <v>4</v>
      </c>
      <c r="N231" s="323" t="s">
        <v>23</v>
      </c>
      <c r="O231" s="324" t="s">
        <v>15</v>
      </c>
      <c r="P231" s="72">
        <f t="shared" si="15"/>
        <v>40000000</v>
      </c>
      <c r="Q231" s="325" t="s">
        <v>9</v>
      </c>
    </row>
    <row r="232" spans="1:17" ht="18" customHeight="1">
      <c r="A232" s="212"/>
      <c r="B232" s="64"/>
      <c r="C232" s="311" t="s">
        <v>335</v>
      </c>
      <c r="D232" s="312">
        <v>60000</v>
      </c>
      <c r="E232" s="452">
        <f t="shared" si="12"/>
        <v>60000</v>
      </c>
      <c r="F232" s="313"/>
      <c r="G232" s="451">
        <f t="shared" si="14"/>
        <v>0</v>
      </c>
      <c r="H232" s="450">
        <f t="shared" si="13"/>
        <v>0</v>
      </c>
      <c r="I232" s="314" t="s">
        <v>71</v>
      </c>
      <c r="J232" s="72">
        <v>15000000</v>
      </c>
      <c r="K232" s="321" t="s">
        <v>9</v>
      </c>
      <c r="L232" s="322" t="s">
        <v>16</v>
      </c>
      <c r="M232" s="323">
        <v>4</v>
      </c>
      <c r="N232" s="323" t="s">
        <v>23</v>
      </c>
      <c r="O232" s="324" t="s">
        <v>15</v>
      </c>
      <c r="P232" s="72">
        <f t="shared" si="15"/>
        <v>60000000</v>
      </c>
      <c r="Q232" s="325" t="s">
        <v>9</v>
      </c>
    </row>
    <row r="233" spans="1:17" ht="17.45" customHeight="1">
      <c r="A233" s="212"/>
      <c r="B233" s="64"/>
      <c r="C233" s="320" t="s">
        <v>353</v>
      </c>
      <c r="D233" s="452">
        <v>390000</v>
      </c>
      <c r="E233" s="452">
        <f t="shared" si="12"/>
        <v>412575.99995999999</v>
      </c>
      <c r="F233" s="313"/>
      <c r="G233" s="451">
        <f>+E233-D233</f>
        <v>22575.999959999986</v>
      </c>
      <c r="H233" s="450">
        <f t="shared" si="13"/>
        <v>5.7887179384615353</v>
      </c>
      <c r="I233" s="314" t="s">
        <v>473</v>
      </c>
      <c r="J233" s="72">
        <v>68762666.659999996</v>
      </c>
      <c r="K233" s="321" t="s">
        <v>9</v>
      </c>
      <c r="L233" s="322" t="s">
        <v>16</v>
      </c>
      <c r="M233" s="323">
        <v>6</v>
      </c>
      <c r="N233" s="323" t="s">
        <v>23</v>
      </c>
      <c r="O233" s="324" t="s">
        <v>15</v>
      </c>
      <c r="P233" s="72">
        <f t="shared" si="15"/>
        <v>412575999.95999998</v>
      </c>
      <c r="Q233" s="325" t="s">
        <v>9</v>
      </c>
    </row>
    <row r="234" spans="1:17" ht="17.45" customHeight="1">
      <c r="A234" s="265" t="s">
        <v>485</v>
      </c>
      <c r="B234" s="399" t="s">
        <v>485</v>
      </c>
      <c r="C234" s="311" t="s">
        <v>105</v>
      </c>
      <c r="D234" s="312">
        <v>40000</v>
      </c>
      <c r="E234" s="452">
        <f t="shared" si="12"/>
        <v>40000</v>
      </c>
      <c r="F234" s="313"/>
      <c r="G234" s="451">
        <f>E234-D234</f>
        <v>0</v>
      </c>
      <c r="H234" s="450">
        <f t="shared" si="13"/>
        <v>0</v>
      </c>
      <c r="I234" s="314" t="s">
        <v>71</v>
      </c>
      <c r="J234" s="72">
        <v>10000000</v>
      </c>
      <c r="K234" s="321" t="s">
        <v>9</v>
      </c>
      <c r="L234" s="322" t="s">
        <v>16</v>
      </c>
      <c r="M234" s="323">
        <v>4</v>
      </c>
      <c r="N234" s="323" t="s">
        <v>23</v>
      </c>
      <c r="O234" s="324" t="s">
        <v>15</v>
      </c>
      <c r="P234" s="72">
        <f t="shared" si="15"/>
        <v>40000000</v>
      </c>
      <c r="Q234" s="334" t="s">
        <v>9</v>
      </c>
    </row>
    <row r="235" spans="1:17" ht="17.45" customHeight="1">
      <c r="A235" s="265"/>
      <c r="B235" s="399"/>
      <c r="C235" s="335" t="s">
        <v>255</v>
      </c>
      <c r="D235" s="439">
        <v>15000</v>
      </c>
      <c r="E235" s="439">
        <f t="shared" si="12"/>
        <v>15000</v>
      </c>
      <c r="F235" s="328"/>
      <c r="G235" s="424">
        <f>+E235-D235</f>
        <v>0</v>
      </c>
      <c r="H235" s="435">
        <f t="shared" si="13"/>
        <v>0</v>
      </c>
      <c r="I235" s="314" t="s">
        <v>71</v>
      </c>
      <c r="J235" s="72">
        <v>3750000</v>
      </c>
      <c r="K235" s="321" t="s">
        <v>9</v>
      </c>
      <c r="L235" s="322" t="s">
        <v>16</v>
      </c>
      <c r="M235" s="323">
        <v>4</v>
      </c>
      <c r="N235" s="323" t="s">
        <v>23</v>
      </c>
      <c r="O235" s="324" t="s">
        <v>15</v>
      </c>
      <c r="P235" s="72">
        <f t="shared" si="15"/>
        <v>15000000</v>
      </c>
      <c r="Q235" s="325" t="s">
        <v>9</v>
      </c>
    </row>
    <row r="236" spans="1:17" ht="17.45" customHeight="1">
      <c r="A236" s="212"/>
      <c r="B236" s="64"/>
      <c r="C236" s="320" t="s">
        <v>263</v>
      </c>
      <c r="D236" s="452">
        <v>28000</v>
      </c>
      <c r="E236" s="452">
        <f t="shared" si="12"/>
        <v>28000</v>
      </c>
      <c r="F236" s="313"/>
      <c r="G236" s="451">
        <f>E236-D236</f>
        <v>0</v>
      </c>
      <c r="H236" s="450">
        <f>+G236/D236*100</f>
        <v>0</v>
      </c>
      <c r="I236" s="314" t="s">
        <v>71</v>
      </c>
      <c r="J236" s="72">
        <v>7000000</v>
      </c>
      <c r="K236" s="321" t="s">
        <v>9</v>
      </c>
      <c r="L236" s="322" t="s">
        <v>16</v>
      </c>
      <c r="M236" s="323">
        <v>4</v>
      </c>
      <c r="N236" s="323" t="s">
        <v>23</v>
      </c>
      <c r="O236" s="324" t="s">
        <v>15</v>
      </c>
      <c r="P236" s="72">
        <f t="shared" si="15"/>
        <v>28000000</v>
      </c>
      <c r="Q236" s="325" t="s">
        <v>9</v>
      </c>
    </row>
    <row r="237" spans="1:17" ht="17.45" customHeight="1">
      <c r="A237" s="212"/>
      <c r="B237" s="64"/>
      <c r="C237" s="320" t="s">
        <v>287</v>
      </c>
      <c r="D237" s="452">
        <v>2000</v>
      </c>
      <c r="E237" s="452">
        <f t="shared" si="12"/>
        <v>2000</v>
      </c>
      <c r="F237" s="313"/>
      <c r="G237" s="451">
        <f>E237-D237</f>
        <v>0</v>
      </c>
      <c r="H237" s="450">
        <f>+G237/D237*100</f>
        <v>0</v>
      </c>
      <c r="I237" s="314" t="s">
        <v>71</v>
      </c>
      <c r="J237" s="72">
        <v>500000</v>
      </c>
      <c r="K237" s="321" t="s">
        <v>9</v>
      </c>
      <c r="L237" s="322" t="s">
        <v>16</v>
      </c>
      <c r="M237" s="323">
        <v>4</v>
      </c>
      <c r="N237" s="323" t="s">
        <v>23</v>
      </c>
      <c r="O237" s="324" t="s">
        <v>15</v>
      </c>
      <c r="P237" s="72">
        <f t="shared" si="15"/>
        <v>2000000</v>
      </c>
      <c r="Q237" s="325" t="s">
        <v>9</v>
      </c>
    </row>
    <row r="238" spans="1:17" ht="17.45" customHeight="1">
      <c r="A238" s="212"/>
      <c r="B238" s="64"/>
      <c r="C238" s="311" t="s">
        <v>163</v>
      </c>
      <c r="D238" s="452">
        <v>20000</v>
      </c>
      <c r="E238" s="452">
        <f t="shared" si="12"/>
        <v>22260.16</v>
      </c>
      <c r="F238" s="313"/>
      <c r="G238" s="451">
        <f t="shared" ref="G238:G243" si="16">+E238-D238</f>
        <v>2260.16</v>
      </c>
      <c r="H238" s="450">
        <f>+G238/D238*100</f>
        <v>11.300799999999999</v>
      </c>
      <c r="I238" s="343" t="s">
        <v>470</v>
      </c>
      <c r="J238" s="72">
        <v>4452032</v>
      </c>
      <c r="K238" s="321" t="s">
        <v>9</v>
      </c>
      <c r="L238" s="322" t="s">
        <v>16</v>
      </c>
      <c r="M238" s="323">
        <v>5</v>
      </c>
      <c r="N238" s="323" t="s">
        <v>23</v>
      </c>
      <c r="O238" s="324" t="s">
        <v>15</v>
      </c>
      <c r="P238" s="72">
        <f t="shared" si="15"/>
        <v>22260160</v>
      </c>
      <c r="Q238" s="325" t="s">
        <v>9</v>
      </c>
    </row>
    <row r="239" spans="1:17" ht="17.45" customHeight="1">
      <c r="A239" s="212"/>
      <c r="B239" s="64"/>
      <c r="C239" s="336" t="s">
        <v>209</v>
      </c>
      <c r="D239" s="420">
        <v>2400</v>
      </c>
      <c r="E239" s="452">
        <f t="shared" si="12"/>
        <v>2400</v>
      </c>
      <c r="F239" s="337"/>
      <c r="G239" s="451">
        <f t="shared" si="16"/>
        <v>0</v>
      </c>
      <c r="H239" s="450">
        <f>+G239/D239*100</f>
        <v>0</v>
      </c>
      <c r="I239" s="314" t="s">
        <v>71</v>
      </c>
      <c r="J239" s="72">
        <v>2400000</v>
      </c>
      <c r="K239" s="321" t="s">
        <v>9</v>
      </c>
      <c r="L239" s="322" t="s">
        <v>16</v>
      </c>
      <c r="M239" s="323">
        <v>1</v>
      </c>
      <c r="N239" s="323" t="s">
        <v>23</v>
      </c>
      <c r="O239" s="324" t="s">
        <v>15</v>
      </c>
      <c r="P239" s="72">
        <f t="shared" si="15"/>
        <v>2400000</v>
      </c>
      <c r="Q239" s="325" t="s">
        <v>9</v>
      </c>
    </row>
    <row r="240" spans="1:17" ht="17.45" customHeight="1">
      <c r="A240" s="212"/>
      <c r="B240" s="64"/>
      <c r="C240" s="336" t="s">
        <v>182</v>
      </c>
      <c r="D240" s="420">
        <v>2400</v>
      </c>
      <c r="E240" s="452">
        <f t="shared" si="12"/>
        <v>2400</v>
      </c>
      <c r="F240" s="337"/>
      <c r="G240" s="451">
        <f t="shared" si="16"/>
        <v>0</v>
      </c>
      <c r="H240" s="450">
        <f>+G240/D240*100</f>
        <v>0</v>
      </c>
      <c r="I240" s="314" t="s">
        <v>71</v>
      </c>
      <c r="J240" s="72">
        <v>2400000</v>
      </c>
      <c r="K240" s="321" t="s">
        <v>9</v>
      </c>
      <c r="L240" s="322" t="s">
        <v>16</v>
      </c>
      <c r="M240" s="323">
        <v>1</v>
      </c>
      <c r="N240" s="323" t="s">
        <v>23</v>
      </c>
      <c r="O240" s="324" t="s">
        <v>15</v>
      </c>
      <c r="P240" s="72">
        <f t="shared" si="15"/>
        <v>2400000</v>
      </c>
      <c r="Q240" s="325" t="s">
        <v>9</v>
      </c>
    </row>
    <row r="241" spans="1:17" ht="17.45" customHeight="1">
      <c r="A241" s="212"/>
      <c r="B241" s="64"/>
      <c r="C241" s="311" t="s">
        <v>222</v>
      </c>
      <c r="D241" s="452">
        <v>3300</v>
      </c>
      <c r="E241" s="452">
        <f t="shared" si="12"/>
        <v>3300</v>
      </c>
      <c r="F241" s="313"/>
      <c r="G241" s="451">
        <f t="shared" si="16"/>
        <v>0</v>
      </c>
      <c r="H241" s="450">
        <f>G241/D241*100</f>
        <v>0</v>
      </c>
      <c r="I241" s="314" t="s">
        <v>71</v>
      </c>
      <c r="J241" s="72">
        <v>3300000</v>
      </c>
      <c r="K241" s="321" t="s">
        <v>9</v>
      </c>
      <c r="L241" s="322" t="s">
        <v>16</v>
      </c>
      <c r="M241" s="323">
        <v>1</v>
      </c>
      <c r="N241" s="323" t="s">
        <v>23</v>
      </c>
      <c r="O241" s="324" t="s">
        <v>15</v>
      </c>
      <c r="P241" s="72">
        <f t="shared" si="15"/>
        <v>3300000</v>
      </c>
      <c r="Q241" s="325" t="s">
        <v>9</v>
      </c>
    </row>
    <row r="242" spans="1:17" ht="17.45" customHeight="1">
      <c r="A242" s="265"/>
      <c r="B242" s="399"/>
      <c r="C242" s="338" t="s">
        <v>243</v>
      </c>
      <c r="D242" s="438">
        <v>1200</v>
      </c>
      <c r="E242" s="439">
        <f t="shared" si="12"/>
        <v>1200</v>
      </c>
      <c r="F242" s="438" t="e">
        <f>Q242/1000</f>
        <v>#VALUE!</v>
      </c>
      <c r="G242" s="424">
        <f t="shared" si="16"/>
        <v>0</v>
      </c>
      <c r="H242" s="435">
        <f>G242/D242*100</f>
        <v>0</v>
      </c>
      <c r="I242" s="314" t="s">
        <v>71</v>
      </c>
      <c r="J242" s="72">
        <v>1200000</v>
      </c>
      <c r="K242" s="321" t="s">
        <v>9</v>
      </c>
      <c r="L242" s="322" t="s">
        <v>16</v>
      </c>
      <c r="M242" s="323">
        <v>1</v>
      </c>
      <c r="N242" s="323" t="s">
        <v>23</v>
      </c>
      <c r="O242" s="324" t="s">
        <v>15</v>
      </c>
      <c r="P242" s="72">
        <f t="shared" si="15"/>
        <v>1200000</v>
      </c>
      <c r="Q242" s="325" t="s">
        <v>9</v>
      </c>
    </row>
    <row r="243" spans="1:17" ht="17.45" customHeight="1">
      <c r="A243" s="212"/>
      <c r="B243" s="64"/>
      <c r="C243" s="336" t="s">
        <v>173</v>
      </c>
      <c r="D243" s="420">
        <v>2700</v>
      </c>
      <c r="E243" s="452">
        <f t="shared" si="12"/>
        <v>2700</v>
      </c>
      <c r="F243" s="420"/>
      <c r="G243" s="451">
        <f t="shared" si="16"/>
        <v>0</v>
      </c>
      <c r="H243" s="450">
        <f>G243/D243*100</f>
        <v>0</v>
      </c>
      <c r="I243" s="314" t="s">
        <v>71</v>
      </c>
      <c r="J243" s="72">
        <v>2700000</v>
      </c>
      <c r="K243" s="321" t="s">
        <v>9</v>
      </c>
      <c r="L243" s="322" t="s">
        <v>16</v>
      </c>
      <c r="M243" s="323">
        <v>1</v>
      </c>
      <c r="N243" s="323" t="s">
        <v>23</v>
      </c>
      <c r="O243" s="324" t="s">
        <v>15</v>
      </c>
      <c r="P243" s="72">
        <f t="shared" si="15"/>
        <v>2700000</v>
      </c>
      <c r="Q243" s="325" t="s">
        <v>9</v>
      </c>
    </row>
    <row r="244" spans="1:17" ht="17.45" customHeight="1">
      <c r="A244" s="299"/>
      <c r="B244" s="300"/>
      <c r="C244" s="320" t="s">
        <v>269</v>
      </c>
      <c r="D244" s="420">
        <v>2700</v>
      </c>
      <c r="E244" s="452">
        <f t="shared" ref="E244:E251" si="17">P244/1000</f>
        <v>2700</v>
      </c>
      <c r="F244" s="313"/>
      <c r="G244" s="451">
        <f t="shared" ref="G244:G251" si="18">+E244-D244</f>
        <v>0</v>
      </c>
      <c r="H244" s="450">
        <f>G244/D244*100</f>
        <v>0</v>
      </c>
      <c r="I244" s="314" t="s">
        <v>71</v>
      </c>
      <c r="J244" s="72">
        <v>2700000</v>
      </c>
      <c r="K244" s="321" t="s">
        <v>9</v>
      </c>
      <c r="L244" s="322" t="s">
        <v>16</v>
      </c>
      <c r="M244" s="323">
        <v>1</v>
      </c>
      <c r="N244" s="323" t="s">
        <v>23</v>
      </c>
      <c r="O244" s="324" t="s">
        <v>15</v>
      </c>
      <c r="P244" s="72">
        <f t="shared" si="15"/>
        <v>2700000</v>
      </c>
      <c r="Q244" s="325" t="s">
        <v>9</v>
      </c>
    </row>
    <row r="245" spans="1:17" ht="17.45" customHeight="1">
      <c r="A245" s="212"/>
      <c r="B245" s="64"/>
      <c r="C245" s="338" t="s">
        <v>223</v>
      </c>
      <c r="D245" s="420">
        <v>2100</v>
      </c>
      <c r="E245" s="439">
        <f t="shared" si="17"/>
        <v>2100</v>
      </c>
      <c r="F245" s="339"/>
      <c r="G245" s="424">
        <f t="shared" si="18"/>
        <v>0</v>
      </c>
      <c r="H245" s="435">
        <f>+G245/D245*100</f>
        <v>0</v>
      </c>
      <c r="I245" s="314" t="s">
        <v>71</v>
      </c>
      <c r="J245" s="72">
        <v>2100000</v>
      </c>
      <c r="K245" s="321" t="s">
        <v>9</v>
      </c>
      <c r="L245" s="322" t="s">
        <v>16</v>
      </c>
      <c r="M245" s="323">
        <v>1</v>
      </c>
      <c r="N245" s="323" t="s">
        <v>23</v>
      </c>
      <c r="O245" s="324" t="s">
        <v>15</v>
      </c>
      <c r="P245" s="72">
        <f t="shared" si="15"/>
        <v>2100000</v>
      </c>
      <c r="Q245" s="325" t="s">
        <v>9</v>
      </c>
    </row>
    <row r="246" spans="1:17" ht="17.45" customHeight="1">
      <c r="A246" s="212"/>
      <c r="B246" s="64"/>
      <c r="C246" s="340" t="s">
        <v>264</v>
      </c>
      <c r="D246" s="420">
        <v>3000</v>
      </c>
      <c r="E246" s="452">
        <f t="shared" si="17"/>
        <v>3000</v>
      </c>
      <c r="F246" s="337"/>
      <c r="G246" s="451">
        <f t="shared" si="18"/>
        <v>0</v>
      </c>
      <c r="H246" s="435">
        <f>+G246/D246*100</f>
        <v>0</v>
      </c>
      <c r="I246" s="314" t="s">
        <v>71</v>
      </c>
      <c r="J246" s="72">
        <v>3000000</v>
      </c>
      <c r="K246" s="321" t="s">
        <v>9</v>
      </c>
      <c r="L246" s="322" t="s">
        <v>16</v>
      </c>
      <c r="M246" s="323">
        <v>1</v>
      </c>
      <c r="N246" s="323" t="s">
        <v>23</v>
      </c>
      <c r="O246" s="324" t="s">
        <v>15</v>
      </c>
      <c r="P246" s="72">
        <f t="shared" si="15"/>
        <v>3000000</v>
      </c>
      <c r="Q246" s="325" t="s">
        <v>9</v>
      </c>
    </row>
    <row r="247" spans="1:17" ht="17.45" customHeight="1">
      <c r="A247" s="212"/>
      <c r="B247" s="64"/>
      <c r="C247" s="336" t="s">
        <v>167</v>
      </c>
      <c r="D247" s="420">
        <v>2700</v>
      </c>
      <c r="E247" s="452">
        <f t="shared" si="17"/>
        <v>2700</v>
      </c>
      <c r="F247" s="313"/>
      <c r="G247" s="451">
        <f t="shared" si="18"/>
        <v>0</v>
      </c>
      <c r="H247" s="435">
        <f>+G247/D247*100</f>
        <v>0</v>
      </c>
      <c r="I247" s="314" t="s">
        <v>71</v>
      </c>
      <c r="J247" s="72">
        <v>2700000</v>
      </c>
      <c r="K247" s="321" t="s">
        <v>9</v>
      </c>
      <c r="L247" s="322" t="s">
        <v>16</v>
      </c>
      <c r="M247" s="323">
        <v>1</v>
      </c>
      <c r="N247" s="323" t="s">
        <v>23</v>
      </c>
      <c r="O247" s="324" t="s">
        <v>15</v>
      </c>
      <c r="P247" s="72">
        <f t="shared" si="15"/>
        <v>2700000</v>
      </c>
      <c r="Q247" s="325" t="s">
        <v>9</v>
      </c>
    </row>
    <row r="248" spans="1:17" ht="17.45" customHeight="1">
      <c r="A248" s="212"/>
      <c r="B248" s="64"/>
      <c r="C248" s="336" t="s">
        <v>204</v>
      </c>
      <c r="D248" s="420">
        <v>2400</v>
      </c>
      <c r="E248" s="452">
        <f t="shared" si="17"/>
        <v>2400</v>
      </c>
      <c r="F248" s="337"/>
      <c r="G248" s="451">
        <f t="shared" si="18"/>
        <v>0</v>
      </c>
      <c r="H248" s="435">
        <f>+G248/D248*100</f>
        <v>0</v>
      </c>
      <c r="I248" s="314" t="s">
        <v>71</v>
      </c>
      <c r="J248" s="72">
        <v>2400000</v>
      </c>
      <c r="K248" s="321" t="s">
        <v>9</v>
      </c>
      <c r="L248" s="322" t="s">
        <v>16</v>
      </c>
      <c r="M248" s="323">
        <v>1</v>
      </c>
      <c r="N248" s="323" t="s">
        <v>23</v>
      </c>
      <c r="O248" s="324" t="s">
        <v>15</v>
      </c>
      <c r="P248" s="72">
        <f t="shared" si="15"/>
        <v>2400000</v>
      </c>
      <c r="Q248" s="325" t="s">
        <v>9</v>
      </c>
    </row>
    <row r="249" spans="1:17" ht="17.45" customHeight="1">
      <c r="A249" s="212"/>
      <c r="B249" s="64"/>
      <c r="C249" s="336" t="s">
        <v>245</v>
      </c>
      <c r="D249" s="420">
        <v>2700</v>
      </c>
      <c r="E249" s="452">
        <f t="shared" si="17"/>
        <v>7700</v>
      </c>
      <c r="F249" s="337"/>
      <c r="G249" s="451">
        <f t="shared" si="18"/>
        <v>5000</v>
      </c>
      <c r="H249" s="450">
        <f>G249/D249*100</f>
        <v>185.18518518518519</v>
      </c>
      <c r="I249" s="314" t="s">
        <v>473</v>
      </c>
      <c r="J249" s="72">
        <v>3850000</v>
      </c>
      <c r="K249" s="321" t="s">
        <v>9</v>
      </c>
      <c r="L249" s="322" t="s">
        <v>16</v>
      </c>
      <c r="M249" s="323">
        <v>2</v>
      </c>
      <c r="N249" s="323" t="s">
        <v>23</v>
      </c>
      <c r="O249" s="324" t="s">
        <v>15</v>
      </c>
      <c r="P249" s="72">
        <f t="shared" si="15"/>
        <v>7700000</v>
      </c>
      <c r="Q249" s="325" t="s">
        <v>9</v>
      </c>
    </row>
    <row r="250" spans="1:17" ht="17.45" customHeight="1">
      <c r="A250" s="212"/>
      <c r="B250" s="64"/>
      <c r="C250" s="311" t="s">
        <v>220</v>
      </c>
      <c r="D250" s="420">
        <v>3600</v>
      </c>
      <c r="E250" s="452">
        <f t="shared" si="17"/>
        <v>4143.01</v>
      </c>
      <c r="F250" s="313"/>
      <c r="G250" s="451">
        <f t="shared" si="18"/>
        <v>543.01000000000022</v>
      </c>
      <c r="H250" s="450">
        <f>G250/D250*100</f>
        <v>15.083611111111118</v>
      </c>
      <c r="I250" s="343" t="s">
        <v>470</v>
      </c>
      <c r="J250" s="72">
        <v>2071505</v>
      </c>
      <c r="K250" s="321" t="s">
        <v>9</v>
      </c>
      <c r="L250" s="322" t="s">
        <v>16</v>
      </c>
      <c r="M250" s="323">
        <v>2</v>
      </c>
      <c r="N250" s="323" t="s">
        <v>23</v>
      </c>
      <c r="O250" s="324" t="s">
        <v>15</v>
      </c>
      <c r="P250" s="72">
        <f t="shared" si="15"/>
        <v>4143010</v>
      </c>
      <c r="Q250" s="325" t="s">
        <v>9</v>
      </c>
    </row>
    <row r="251" spans="1:17" ht="17.45" customHeight="1">
      <c r="A251" s="212"/>
      <c r="B251" s="64"/>
      <c r="C251" s="335" t="s">
        <v>280</v>
      </c>
      <c r="D251" s="420">
        <v>3600</v>
      </c>
      <c r="E251" s="452">
        <f t="shared" si="17"/>
        <v>3600</v>
      </c>
      <c r="F251" s="328"/>
      <c r="G251" s="451">
        <f t="shared" si="18"/>
        <v>0</v>
      </c>
      <c r="H251" s="450">
        <f>G251/D251*100</f>
        <v>0</v>
      </c>
      <c r="I251" s="314" t="s">
        <v>71</v>
      </c>
      <c r="J251" s="72">
        <v>3600000</v>
      </c>
      <c r="K251" s="321" t="s">
        <v>9</v>
      </c>
      <c r="L251" s="322" t="s">
        <v>16</v>
      </c>
      <c r="M251" s="323">
        <v>1</v>
      </c>
      <c r="N251" s="323" t="s">
        <v>23</v>
      </c>
      <c r="O251" s="324" t="s">
        <v>15</v>
      </c>
      <c r="P251" s="72">
        <f t="shared" si="15"/>
        <v>3600000</v>
      </c>
      <c r="Q251" s="325" t="s">
        <v>9</v>
      </c>
    </row>
    <row r="252" spans="1:17" ht="17.45" customHeight="1">
      <c r="A252" s="212"/>
      <c r="B252" s="64"/>
      <c r="C252" s="320" t="s">
        <v>261</v>
      </c>
      <c r="D252" s="452">
        <v>5000</v>
      </c>
      <c r="E252" s="452">
        <f t="shared" ref="E252:E268" si="19">P252/1000</f>
        <v>5000</v>
      </c>
      <c r="F252" s="313"/>
      <c r="G252" s="451">
        <f t="shared" ref="G252:G270" si="20">+E252-D252</f>
        <v>0</v>
      </c>
      <c r="H252" s="450">
        <f t="shared" ref="H252:H268" si="21">+G252/D252*100</f>
        <v>0</v>
      </c>
      <c r="I252" s="314" t="s">
        <v>71</v>
      </c>
      <c r="J252" s="72">
        <v>5000000</v>
      </c>
      <c r="K252" s="321" t="s">
        <v>9</v>
      </c>
      <c r="L252" s="322" t="s">
        <v>16</v>
      </c>
      <c r="M252" s="323">
        <v>1</v>
      </c>
      <c r="N252" s="323" t="s">
        <v>23</v>
      </c>
      <c r="O252" s="324" t="s">
        <v>15</v>
      </c>
      <c r="P252" s="72">
        <f t="shared" si="15"/>
        <v>5000000</v>
      </c>
      <c r="Q252" s="325" t="s">
        <v>9</v>
      </c>
    </row>
    <row r="253" spans="1:17" ht="17.45" customHeight="1">
      <c r="A253" s="212"/>
      <c r="B253" s="64"/>
      <c r="C253" s="311" t="s">
        <v>128</v>
      </c>
      <c r="D253" s="452">
        <v>5000</v>
      </c>
      <c r="E253" s="452">
        <f t="shared" si="19"/>
        <v>5000</v>
      </c>
      <c r="F253" s="313"/>
      <c r="G253" s="451">
        <f t="shared" si="20"/>
        <v>0</v>
      </c>
      <c r="H253" s="450">
        <f t="shared" si="21"/>
        <v>0</v>
      </c>
      <c r="I253" s="314" t="s">
        <v>71</v>
      </c>
      <c r="J253" s="72">
        <v>5000000</v>
      </c>
      <c r="K253" s="321" t="s">
        <v>9</v>
      </c>
      <c r="L253" s="322" t="s">
        <v>16</v>
      </c>
      <c r="M253" s="323">
        <v>1</v>
      </c>
      <c r="N253" s="323" t="s">
        <v>23</v>
      </c>
      <c r="O253" s="324" t="s">
        <v>15</v>
      </c>
      <c r="P253" s="72">
        <f t="shared" si="15"/>
        <v>5000000</v>
      </c>
      <c r="Q253" s="325" t="s">
        <v>9</v>
      </c>
    </row>
    <row r="254" spans="1:17" ht="17.45" customHeight="1">
      <c r="A254" s="212"/>
      <c r="B254" s="64"/>
      <c r="C254" s="320" t="s">
        <v>328</v>
      </c>
      <c r="D254" s="452">
        <v>3000</v>
      </c>
      <c r="E254" s="452">
        <f t="shared" si="19"/>
        <v>3000</v>
      </c>
      <c r="F254" s="313"/>
      <c r="G254" s="451">
        <f t="shared" si="20"/>
        <v>0</v>
      </c>
      <c r="H254" s="450">
        <f t="shared" si="21"/>
        <v>0</v>
      </c>
      <c r="I254" s="314" t="s">
        <v>71</v>
      </c>
      <c r="J254" s="72">
        <v>3000000</v>
      </c>
      <c r="K254" s="321" t="s">
        <v>9</v>
      </c>
      <c r="L254" s="322" t="s">
        <v>16</v>
      </c>
      <c r="M254" s="323">
        <v>1</v>
      </c>
      <c r="N254" s="323" t="s">
        <v>23</v>
      </c>
      <c r="O254" s="324" t="s">
        <v>15</v>
      </c>
      <c r="P254" s="72">
        <f t="shared" si="15"/>
        <v>3000000</v>
      </c>
      <c r="Q254" s="325" t="s">
        <v>9</v>
      </c>
    </row>
    <row r="255" spans="1:17" ht="17.45" customHeight="1">
      <c r="A255" s="212"/>
      <c r="B255" s="64"/>
      <c r="C255" s="311" t="s">
        <v>140</v>
      </c>
      <c r="D255" s="452">
        <v>5000</v>
      </c>
      <c r="E255" s="452">
        <f t="shared" si="19"/>
        <v>5000</v>
      </c>
      <c r="F255" s="313"/>
      <c r="G255" s="451">
        <f t="shared" si="20"/>
        <v>0</v>
      </c>
      <c r="H255" s="450">
        <f t="shared" si="21"/>
        <v>0</v>
      </c>
      <c r="I255" s="314" t="s">
        <v>71</v>
      </c>
      <c r="J255" s="72">
        <v>5000000</v>
      </c>
      <c r="K255" s="321" t="s">
        <v>9</v>
      </c>
      <c r="L255" s="322" t="s">
        <v>16</v>
      </c>
      <c r="M255" s="323">
        <v>1</v>
      </c>
      <c r="N255" s="323" t="s">
        <v>23</v>
      </c>
      <c r="O255" s="324" t="s">
        <v>15</v>
      </c>
      <c r="P255" s="72">
        <f t="shared" si="15"/>
        <v>5000000</v>
      </c>
      <c r="Q255" s="325" t="s">
        <v>9</v>
      </c>
    </row>
    <row r="256" spans="1:17" ht="17.45" customHeight="1">
      <c r="A256" s="212"/>
      <c r="B256" s="64"/>
      <c r="C256" s="311" t="s">
        <v>168</v>
      </c>
      <c r="D256" s="452">
        <v>2400</v>
      </c>
      <c r="E256" s="452">
        <f t="shared" si="19"/>
        <v>2400</v>
      </c>
      <c r="F256" s="313"/>
      <c r="G256" s="451">
        <f t="shared" si="20"/>
        <v>0</v>
      </c>
      <c r="H256" s="450">
        <f t="shared" si="21"/>
        <v>0</v>
      </c>
      <c r="I256" s="314" t="s">
        <v>71</v>
      </c>
      <c r="J256" s="72">
        <v>2400000</v>
      </c>
      <c r="K256" s="321" t="s">
        <v>9</v>
      </c>
      <c r="L256" s="322" t="s">
        <v>16</v>
      </c>
      <c r="M256" s="323">
        <v>1</v>
      </c>
      <c r="N256" s="323" t="s">
        <v>23</v>
      </c>
      <c r="O256" s="324" t="s">
        <v>15</v>
      </c>
      <c r="P256" s="72">
        <f t="shared" si="15"/>
        <v>2400000</v>
      </c>
      <c r="Q256" s="325" t="s">
        <v>9</v>
      </c>
    </row>
    <row r="257" spans="1:17" ht="17.45" customHeight="1">
      <c r="A257" s="212"/>
      <c r="B257" s="64"/>
      <c r="C257" s="341" t="s">
        <v>314</v>
      </c>
      <c r="D257" s="452">
        <v>78000</v>
      </c>
      <c r="E257" s="452">
        <f t="shared" si="19"/>
        <v>78000</v>
      </c>
      <c r="F257" s="313"/>
      <c r="G257" s="451">
        <f t="shared" si="20"/>
        <v>0</v>
      </c>
      <c r="H257" s="450">
        <f t="shared" si="21"/>
        <v>0</v>
      </c>
      <c r="I257" s="314" t="s">
        <v>71</v>
      </c>
      <c r="J257" s="72">
        <v>6500000</v>
      </c>
      <c r="K257" s="321" t="s">
        <v>9</v>
      </c>
      <c r="L257" s="322" t="s">
        <v>16</v>
      </c>
      <c r="M257" s="323">
        <v>12</v>
      </c>
      <c r="N257" s="323" t="s">
        <v>23</v>
      </c>
      <c r="O257" s="324" t="s">
        <v>15</v>
      </c>
      <c r="P257" s="72">
        <f t="shared" si="15"/>
        <v>78000000</v>
      </c>
      <c r="Q257" s="325" t="s">
        <v>9</v>
      </c>
    </row>
    <row r="258" spans="1:17" ht="17.45" customHeight="1">
      <c r="A258" s="265"/>
      <c r="B258" s="399"/>
      <c r="C258" s="326" t="s">
        <v>85</v>
      </c>
      <c r="D258" s="439">
        <v>3300</v>
      </c>
      <c r="E258" s="439">
        <f t="shared" si="19"/>
        <v>3300</v>
      </c>
      <c r="F258" s="328"/>
      <c r="G258" s="424">
        <f t="shared" si="20"/>
        <v>0</v>
      </c>
      <c r="H258" s="435">
        <f t="shared" si="21"/>
        <v>0</v>
      </c>
      <c r="I258" s="314" t="s">
        <v>71</v>
      </c>
      <c r="J258" s="72">
        <v>3300000</v>
      </c>
      <c r="K258" s="321" t="s">
        <v>9</v>
      </c>
      <c r="L258" s="322" t="s">
        <v>16</v>
      </c>
      <c r="M258" s="323">
        <v>1</v>
      </c>
      <c r="N258" s="323" t="s">
        <v>23</v>
      </c>
      <c r="O258" s="324" t="s">
        <v>15</v>
      </c>
      <c r="P258" s="72">
        <f t="shared" si="15"/>
        <v>3300000</v>
      </c>
      <c r="Q258" s="325" t="s">
        <v>9</v>
      </c>
    </row>
    <row r="259" spans="1:17" ht="17.45" customHeight="1">
      <c r="A259" s="265"/>
      <c r="B259" s="399"/>
      <c r="C259" s="342" t="s">
        <v>333</v>
      </c>
      <c r="D259" s="439">
        <v>3000</v>
      </c>
      <c r="E259" s="439">
        <f t="shared" si="19"/>
        <v>3000</v>
      </c>
      <c r="F259" s="328"/>
      <c r="G259" s="424">
        <f t="shared" si="20"/>
        <v>0</v>
      </c>
      <c r="H259" s="435">
        <f t="shared" si="21"/>
        <v>0</v>
      </c>
      <c r="I259" s="314" t="s">
        <v>71</v>
      </c>
      <c r="J259" s="72">
        <v>3000000</v>
      </c>
      <c r="K259" s="321" t="s">
        <v>9</v>
      </c>
      <c r="L259" s="322" t="s">
        <v>16</v>
      </c>
      <c r="M259" s="323">
        <v>1</v>
      </c>
      <c r="N259" s="323" t="s">
        <v>23</v>
      </c>
      <c r="O259" s="324" t="s">
        <v>15</v>
      </c>
      <c r="P259" s="72">
        <f t="shared" si="15"/>
        <v>3000000</v>
      </c>
      <c r="Q259" s="325" t="s">
        <v>9</v>
      </c>
    </row>
    <row r="260" spans="1:17" ht="17.45" customHeight="1">
      <c r="A260" s="212"/>
      <c r="B260" s="64"/>
      <c r="C260" s="320" t="s">
        <v>350</v>
      </c>
      <c r="D260" s="452">
        <v>3000</v>
      </c>
      <c r="E260" s="452">
        <f t="shared" si="19"/>
        <v>3000</v>
      </c>
      <c r="F260" s="313"/>
      <c r="G260" s="451">
        <f t="shared" si="20"/>
        <v>0</v>
      </c>
      <c r="H260" s="450">
        <f t="shared" si="21"/>
        <v>0</v>
      </c>
      <c r="I260" s="314" t="s">
        <v>71</v>
      </c>
      <c r="J260" s="72">
        <v>3000000</v>
      </c>
      <c r="K260" s="321" t="s">
        <v>9</v>
      </c>
      <c r="L260" s="322" t="s">
        <v>16</v>
      </c>
      <c r="M260" s="323">
        <v>1</v>
      </c>
      <c r="N260" s="323" t="s">
        <v>23</v>
      </c>
      <c r="O260" s="324" t="s">
        <v>15</v>
      </c>
      <c r="P260" s="72">
        <f t="shared" si="15"/>
        <v>3000000</v>
      </c>
      <c r="Q260" s="325" t="s">
        <v>9</v>
      </c>
    </row>
    <row r="261" spans="1:17" ht="17.45" customHeight="1">
      <c r="A261" s="265"/>
      <c r="B261" s="399"/>
      <c r="C261" s="326" t="s">
        <v>155</v>
      </c>
      <c r="D261" s="439">
        <v>3600</v>
      </c>
      <c r="E261" s="439">
        <f t="shared" si="19"/>
        <v>3600</v>
      </c>
      <c r="F261" s="328"/>
      <c r="G261" s="424">
        <f t="shared" si="20"/>
        <v>0</v>
      </c>
      <c r="H261" s="435">
        <f t="shared" si="21"/>
        <v>0</v>
      </c>
      <c r="I261" s="329" t="s">
        <v>71</v>
      </c>
      <c r="J261" s="69">
        <v>3600000</v>
      </c>
      <c r="K261" s="330" t="s">
        <v>9</v>
      </c>
      <c r="L261" s="331" t="s">
        <v>16</v>
      </c>
      <c r="M261" s="332">
        <v>1</v>
      </c>
      <c r="N261" s="332" t="s">
        <v>23</v>
      </c>
      <c r="O261" s="333" t="s">
        <v>15</v>
      </c>
      <c r="P261" s="72">
        <f t="shared" si="15"/>
        <v>3600000</v>
      </c>
      <c r="Q261" s="334" t="s">
        <v>9</v>
      </c>
    </row>
    <row r="262" spans="1:17" ht="17.45" customHeight="1">
      <c r="A262" s="265" t="s">
        <v>51</v>
      </c>
      <c r="B262" s="399" t="s">
        <v>51</v>
      </c>
      <c r="C262" s="311" t="s">
        <v>360</v>
      </c>
      <c r="D262" s="452">
        <v>4800</v>
      </c>
      <c r="E262" s="452">
        <f t="shared" si="19"/>
        <v>4800</v>
      </c>
      <c r="F262" s="313"/>
      <c r="G262" s="451">
        <f t="shared" si="20"/>
        <v>0</v>
      </c>
      <c r="H262" s="450">
        <f t="shared" si="21"/>
        <v>0</v>
      </c>
      <c r="I262" s="314" t="s">
        <v>71</v>
      </c>
      <c r="J262" s="72">
        <v>4800000</v>
      </c>
      <c r="K262" s="321" t="s">
        <v>9</v>
      </c>
      <c r="L262" s="322" t="s">
        <v>16</v>
      </c>
      <c r="M262" s="323">
        <v>1</v>
      </c>
      <c r="N262" s="323" t="s">
        <v>23</v>
      </c>
      <c r="O262" s="324" t="s">
        <v>15</v>
      </c>
      <c r="P262" s="72">
        <f t="shared" si="15"/>
        <v>4800000</v>
      </c>
      <c r="Q262" s="325" t="s">
        <v>9</v>
      </c>
    </row>
    <row r="263" spans="1:17" ht="17.45" customHeight="1">
      <c r="A263" s="212"/>
      <c r="B263" s="64"/>
      <c r="C263" s="320" t="s">
        <v>385</v>
      </c>
      <c r="D263" s="452">
        <v>3000</v>
      </c>
      <c r="E263" s="452">
        <f t="shared" si="19"/>
        <v>3000</v>
      </c>
      <c r="F263" s="313"/>
      <c r="G263" s="451">
        <f t="shared" si="20"/>
        <v>0</v>
      </c>
      <c r="H263" s="450">
        <f t="shared" si="21"/>
        <v>0</v>
      </c>
      <c r="I263" s="314" t="s">
        <v>71</v>
      </c>
      <c r="J263" s="72">
        <v>3000000</v>
      </c>
      <c r="K263" s="321" t="s">
        <v>9</v>
      </c>
      <c r="L263" s="322" t="s">
        <v>16</v>
      </c>
      <c r="M263" s="323">
        <v>1</v>
      </c>
      <c r="N263" s="323" t="s">
        <v>23</v>
      </c>
      <c r="O263" s="324" t="s">
        <v>15</v>
      </c>
      <c r="P263" s="72">
        <f t="shared" si="15"/>
        <v>3000000</v>
      </c>
      <c r="Q263" s="325" t="s">
        <v>9</v>
      </c>
    </row>
    <row r="264" spans="1:17" ht="17.45" customHeight="1">
      <c r="A264" s="212"/>
      <c r="B264" s="64"/>
      <c r="C264" s="311" t="s">
        <v>106</v>
      </c>
      <c r="D264" s="452">
        <v>3600</v>
      </c>
      <c r="E264" s="452">
        <f t="shared" si="19"/>
        <v>3600</v>
      </c>
      <c r="F264" s="313"/>
      <c r="G264" s="451">
        <f t="shared" si="20"/>
        <v>0</v>
      </c>
      <c r="H264" s="450">
        <f t="shared" si="21"/>
        <v>0</v>
      </c>
      <c r="I264" s="314" t="s">
        <v>71</v>
      </c>
      <c r="J264" s="72">
        <v>3600000</v>
      </c>
      <c r="K264" s="321" t="s">
        <v>9</v>
      </c>
      <c r="L264" s="322" t="s">
        <v>16</v>
      </c>
      <c r="M264" s="323">
        <v>1</v>
      </c>
      <c r="N264" s="323" t="s">
        <v>23</v>
      </c>
      <c r="O264" s="324" t="s">
        <v>15</v>
      </c>
      <c r="P264" s="72">
        <f t="shared" si="15"/>
        <v>3600000</v>
      </c>
      <c r="Q264" s="325" t="s">
        <v>9</v>
      </c>
    </row>
    <row r="265" spans="1:17" ht="17.45" customHeight="1">
      <c r="A265" s="212"/>
      <c r="B265" s="64"/>
      <c r="C265" s="311" t="s">
        <v>193</v>
      </c>
      <c r="D265" s="452">
        <v>3000</v>
      </c>
      <c r="E265" s="452">
        <f t="shared" si="19"/>
        <v>3000</v>
      </c>
      <c r="F265" s="313"/>
      <c r="G265" s="451">
        <f t="shared" si="20"/>
        <v>0</v>
      </c>
      <c r="H265" s="450">
        <f t="shared" si="21"/>
        <v>0</v>
      </c>
      <c r="I265" s="314" t="s">
        <v>71</v>
      </c>
      <c r="J265" s="72">
        <v>3000000</v>
      </c>
      <c r="K265" s="321" t="s">
        <v>9</v>
      </c>
      <c r="L265" s="322" t="s">
        <v>16</v>
      </c>
      <c r="M265" s="323">
        <v>1</v>
      </c>
      <c r="N265" s="323" t="s">
        <v>23</v>
      </c>
      <c r="O265" s="324" t="s">
        <v>15</v>
      </c>
      <c r="P265" s="72">
        <f t="shared" si="15"/>
        <v>3000000</v>
      </c>
      <c r="Q265" s="325" t="s">
        <v>9</v>
      </c>
    </row>
    <row r="266" spans="1:17" ht="17.45" customHeight="1">
      <c r="A266" s="212"/>
      <c r="B266" s="64"/>
      <c r="C266" s="320" t="s">
        <v>276</v>
      </c>
      <c r="D266" s="452">
        <v>5000</v>
      </c>
      <c r="E266" s="452">
        <f t="shared" si="19"/>
        <v>10000</v>
      </c>
      <c r="F266" s="313"/>
      <c r="G266" s="451">
        <f t="shared" si="20"/>
        <v>5000</v>
      </c>
      <c r="H266" s="450">
        <f t="shared" si="21"/>
        <v>100</v>
      </c>
      <c r="I266" s="314" t="s">
        <v>473</v>
      </c>
      <c r="J266" s="72">
        <v>5000000</v>
      </c>
      <c r="K266" s="321" t="s">
        <v>9</v>
      </c>
      <c r="L266" s="322" t="s">
        <v>16</v>
      </c>
      <c r="M266" s="323">
        <v>2</v>
      </c>
      <c r="N266" s="323" t="s">
        <v>23</v>
      </c>
      <c r="O266" s="324" t="s">
        <v>15</v>
      </c>
      <c r="P266" s="72">
        <f t="shared" si="15"/>
        <v>10000000</v>
      </c>
      <c r="Q266" s="325" t="s">
        <v>9</v>
      </c>
    </row>
    <row r="267" spans="1:17" ht="17.45" customHeight="1">
      <c r="A267" s="265"/>
      <c r="B267" s="399"/>
      <c r="C267" s="326" t="s">
        <v>123</v>
      </c>
      <c r="D267" s="439">
        <v>2700</v>
      </c>
      <c r="E267" s="439">
        <f t="shared" si="19"/>
        <v>2700</v>
      </c>
      <c r="F267" s="328"/>
      <c r="G267" s="424">
        <f t="shared" si="20"/>
        <v>0</v>
      </c>
      <c r="H267" s="435">
        <f t="shared" si="21"/>
        <v>0</v>
      </c>
      <c r="I267" s="314" t="s">
        <v>71</v>
      </c>
      <c r="J267" s="72">
        <v>2700000</v>
      </c>
      <c r="K267" s="321" t="s">
        <v>9</v>
      </c>
      <c r="L267" s="322" t="s">
        <v>16</v>
      </c>
      <c r="M267" s="323">
        <v>1</v>
      </c>
      <c r="N267" s="323" t="s">
        <v>23</v>
      </c>
      <c r="O267" s="324" t="s">
        <v>15</v>
      </c>
      <c r="P267" s="72">
        <f t="shared" si="15"/>
        <v>2700000</v>
      </c>
      <c r="Q267" s="325" t="s">
        <v>9</v>
      </c>
    </row>
    <row r="268" spans="1:17" ht="17.45" customHeight="1">
      <c r="A268" s="212"/>
      <c r="B268" s="64"/>
      <c r="C268" s="311" t="s">
        <v>157</v>
      </c>
      <c r="D268" s="452">
        <v>2700</v>
      </c>
      <c r="E268" s="452">
        <f t="shared" si="19"/>
        <v>0</v>
      </c>
      <c r="F268" s="313"/>
      <c r="G268" s="451">
        <f t="shared" si="20"/>
        <v>-2700</v>
      </c>
      <c r="H268" s="450">
        <f t="shared" si="21"/>
        <v>-100</v>
      </c>
      <c r="I268" s="314" t="s">
        <v>478</v>
      </c>
      <c r="J268" s="72">
        <v>0</v>
      </c>
      <c r="K268" s="321" t="s">
        <v>9</v>
      </c>
      <c r="L268" s="322" t="s">
        <v>16</v>
      </c>
      <c r="M268" s="323">
        <v>1</v>
      </c>
      <c r="N268" s="323" t="s">
        <v>23</v>
      </c>
      <c r="O268" s="324" t="s">
        <v>15</v>
      </c>
      <c r="P268" s="72">
        <f t="shared" si="15"/>
        <v>0</v>
      </c>
      <c r="Q268" s="325" t="s">
        <v>9</v>
      </c>
    </row>
    <row r="269" spans="1:17" ht="17.45" customHeight="1">
      <c r="A269" s="265"/>
      <c r="B269" s="399"/>
      <c r="C269" s="311" t="s">
        <v>112</v>
      </c>
      <c r="D269" s="452">
        <v>2400</v>
      </c>
      <c r="E269" s="452">
        <f t="shared" ref="E269:E284" si="22">P269/1000</f>
        <v>2400</v>
      </c>
      <c r="F269" s="313"/>
      <c r="G269" s="451">
        <f t="shared" si="20"/>
        <v>0</v>
      </c>
      <c r="H269" s="450">
        <f t="shared" ref="H269:H277" si="23">+G269/D269*100</f>
        <v>0</v>
      </c>
      <c r="I269" s="314" t="s">
        <v>71</v>
      </c>
      <c r="J269" s="72">
        <v>2400000</v>
      </c>
      <c r="K269" s="321" t="s">
        <v>9</v>
      </c>
      <c r="L269" s="322" t="s">
        <v>16</v>
      </c>
      <c r="M269" s="323">
        <v>1</v>
      </c>
      <c r="N269" s="323" t="s">
        <v>23</v>
      </c>
      <c r="O269" s="324" t="s">
        <v>15</v>
      </c>
      <c r="P269" s="72">
        <f t="shared" si="15"/>
        <v>2400000</v>
      </c>
      <c r="Q269" s="325" t="s">
        <v>9</v>
      </c>
    </row>
    <row r="270" spans="1:17" ht="17.45" customHeight="1">
      <c r="A270" s="265"/>
      <c r="B270" s="399"/>
      <c r="C270" s="336" t="s">
        <v>238</v>
      </c>
      <c r="D270" s="420">
        <v>900</v>
      </c>
      <c r="E270" s="452">
        <f t="shared" si="22"/>
        <v>4662</v>
      </c>
      <c r="F270" s="337"/>
      <c r="G270" s="451">
        <f t="shared" si="20"/>
        <v>3762</v>
      </c>
      <c r="H270" s="450">
        <f t="shared" si="23"/>
        <v>418</v>
      </c>
      <c r="I270" s="314" t="s">
        <v>71</v>
      </c>
      <c r="J270" s="72">
        <v>4662000</v>
      </c>
      <c r="K270" s="321" t="s">
        <v>9</v>
      </c>
      <c r="L270" s="322" t="s">
        <v>16</v>
      </c>
      <c r="M270" s="323">
        <v>1</v>
      </c>
      <c r="N270" s="323" t="s">
        <v>23</v>
      </c>
      <c r="O270" s="324" t="s">
        <v>15</v>
      </c>
      <c r="P270" s="72">
        <f t="shared" si="15"/>
        <v>4662000</v>
      </c>
      <c r="Q270" s="325" t="s">
        <v>9</v>
      </c>
    </row>
    <row r="271" spans="1:17" ht="17.45" customHeight="1">
      <c r="A271" s="212"/>
      <c r="B271" s="64"/>
      <c r="C271" s="340" t="s">
        <v>370</v>
      </c>
      <c r="D271" s="420">
        <v>600</v>
      </c>
      <c r="E271" s="452">
        <f t="shared" si="22"/>
        <v>600</v>
      </c>
      <c r="F271" s="337"/>
      <c r="G271" s="451">
        <f t="shared" ref="G271:G284" si="24">+E271-D271</f>
        <v>0</v>
      </c>
      <c r="H271" s="450">
        <f t="shared" si="23"/>
        <v>0</v>
      </c>
      <c r="I271" s="314" t="s">
        <v>71</v>
      </c>
      <c r="J271" s="72">
        <v>600000</v>
      </c>
      <c r="K271" s="321" t="s">
        <v>9</v>
      </c>
      <c r="L271" s="322" t="s">
        <v>16</v>
      </c>
      <c r="M271" s="323">
        <v>1</v>
      </c>
      <c r="N271" s="323" t="s">
        <v>23</v>
      </c>
      <c r="O271" s="324" t="s">
        <v>15</v>
      </c>
      <c r="P271" s="72">
        <f t="shared" si="15"/>
        <v>600000</v>
      </c>
      <c r="Q271" s="325" t="s">
        <v>9</v>
      </c>
    </row>
    <row r="272" spans="1:17" ht="17.45" customHeight="1">
      <c r="A272" s="212"/>
      <c r="B272" s="64"/>
      <c r="C272" s="320" t="s">
        <v>215</v>
      </c>
      <c r="D272" s="452">
        <v>1200</v>
      </c>
      <c r="E272" s="452">
        <f t="shared" si="22"/>
        <v>1200</v>
      </c>
      <c r="F272" s="337"/>
      <c r="G272" s="451">
        <f t="shared" si="24"/>
        <v>0</v>
      </c>
      <c r="H272" s="450">
        <f t="shared" si="23"/>
        <v>0</v>
      </c>
      <c r="I272" s="314" t="s">
        <v>71</v>
      </c>
      <c r="J272" s="72">
        <v>1200000</v>
      </c>
      <c r="K272" s="321" t="s">
        <v>9</v>
      </c>
      <c r="L272" s="322" t="s">
        <v>16</v>
      </c>
      <c r="M272" s="323">
        <v>1</v>
      </c>
      <c r="N272" s="323" t="s">
        <v>23</v>
      </c>
      <c r="O272" s="324" t="s">
        <v>15</v>
      </c>
      <c r="P272" s="72">
        <f t="shared" si="15"/>
        <v>1200000</v>
      </c>
      <c r="Q272" s="325" t="s">
        <v>9</v>
      </c>
    </row>
    <row r="273" spans="1:17" ht="17.45" customHeight="1">
      <c r="A273" s="212"/>
      <c r="B273" s="64"/>
      <c r="C273" s="335" t="s">
        <v>364</v>
      </c>
      <c r="D273" s="452">
        <v>31000</v>
      </c>
      <c r="E273" s="439">
        <f t="shared" si="22"/>
        <v>116078.97</v>
      </c>
      <c r="F273" s="328"/>
      <c r="G273" s="424">
        <f t="shared" si="24"/>
        <v>85078.97</v>
      </c>
      <c r="H273" s="435">
        <f t="shared" si="23"/>
        <v>274.44829032258065</v>
      </c>
      <c r="I273" s="343" t="s">
        <v>470</v>
      </c>
      <c r="J273" s="72">
        <v>23215794</v>
      </c>
      <c r="K273" s="321" t="s">
        <v>9</v>
      </c>
      <c r="L273" s="322" t="s">
        <v>38</v>
      </c>
      <c r="M273" s="323">
        <v>5</v>
      </c>
      <c r="N273" s="323" t="s">
        <v>23</v>
      </c>
      <c r="O273" s="324" t="s">
        <v>15</v>
      </c>
      <c r="P273" s="72">
        <f t="shared" si="15"/>
        <v>116078970</v>
      </c>
      <c r="Q273" s="325" t="s">
        <v>9</v>
      </c>
    </row>
    <row r="274" spans="1:17" ht="17.45" customHeight="1">
      <c r="A274" s="212"/>
      <c r="B274" s="64"/>
      <c r="C274" s="320" t="s">
        <v>258</v>
      </c>
      <c r="D274" s="452">
        <v>2100</v>
      </c>
      <c r="E274" s="452">
        <f t="shared" si="22"/>
        <v>2100</v>
      </c>
      <c r="F274" s="313"/>
      <c r="G274" s="451">
        <f t="shared" si="24"/>
        <v>0</v>
      </c>
      <c r="H274" s="435">
        <f t="shared" si="23"/>
        <v>0</v>
      </c>
      <c r="I274" s="314" t="s">
        <v>71</v>
      </c>
      <c r="J274" s="72">
        <v>2100000</v>
      </c>
      <c r="K274" s="321" t="s">
        <v>9</v>
      </c>
      <c r="L274" s="322" t="s">
        <v>16</v>
      </c>
      <c r="M274" s="323">
        <v>1</v>
      </c>
      <c r="N274" s="323" t="s">
        <v>23</v>
      </c>
      <c r="O274" s="324" t="s">
        <v>15</v>
      </c>
      <c r="P274" s="72">
        <f t="shared" si="15"/>
        <v>2100000</v>
      </c>
      <c r="Q274" s="325" t="s">
        <v>9</v>
      </c>
    </row>
    <row r="275" spans="1:17" ht="17.45" customHeight="1">
      <c r="A275" s="212"/>
      <c r="B275" s="64"/>
      <c r="C275" s="320" t="s">
        <v>299</v>
      </c>
      <c r="D275" s="452">
        <v>3400</v>
      </c>
      <c r="E275" s="452">
        <f t="shared" si="22"/>
        <v>3400</v>
      </c>
      <c r="F275" s="313"/>
      <c r="G275" s="451">
        <f t="shared" si="24"/>
        <v>0</v>
      </c>
      <c r="H275" s="435">
        <f t="shared" si="23"/>
        <v>0</v>
      </c>
      <c r="I275" s="314" t="s">
        <v>71</v>
      </c>
      <c r="J275" s="72">
        <v>850000</v>
      </c>
      <c r="K275" s="321" t="s">
        <v>9</v>
      </c>
      <c r="L275" s="322" t="s">
        <v>16</v>
      </c>
      <c r="M275" s="323">
        <v>4</v>
      </c>
      <c r="N275" s="323" t="s">
        <v>23</v>
      </c>
      <c r="O275" s="324" t="s">
        <v>15</v>
      </c>
      <c r="P275" s="72">
        <f t="shared" si="15"/>
        <v>3400000</v>
      </c>
      <c r="Q275" s="325" t="s">
        <v>9</v>
      </c>
    </row>
    <row r="276" spans="1:17" ht="17.45" customHeight="1">
      <c r="A276" s="212"/>
      <c r="B276" s="64"/>
      <c r="C276" s="341" t="s">
        <v>356</v>
      </c>
      <c r="D276" s="452">
        <v>1500</v>
      </c>
      <c r="E276" s="452">
        <f t="shared" si="22"/>
        <v>22534.799999999999</v>
      </c>
      <c r="F276" s="313"/>
      <c r="G276" s="451">
        <f t="shared" si="24"/>
        <v>21034.799999999999</v>
      </c>
      <c r="H276" s="435">
        <f t="shared" si="23"/>
        <v>1402.32</v>
      </c>
      <c r="I276" s="343" t="s">
        <v>470</v>
      </c>
      <c r="J276" s="21">
        <v>11267400</v>
      </c>
      <c r="K276" s="321" t="s">
        <v>9</v>
      </c>
      <c r="L276" s="322" t="s">
        <v>16</v>
      </c>
      <c r="M276" s="323">
        <v>2</v>
      </c>
      <c r="N276" s="323" t="s">
        <v>23</v>
      </c>
      <c r="O276" s="324" t="s">
        <v>15</v>
      </c>
      <c r="P276" s="72">
        <f t="shared" si="15"/>
        <v>22534800</v>
      </c>
      <c r="Q276" s="325" t="s">
        <v>9</v>
      </c>
    </row>
    <row r="277" spans="1:17" ht="17.45" customHeight="1">
      <c r="A277" s="212"/>
      <c r="B277" s="64"/>
      <c r="C277" s="341" t="s">
        <v>363</v>
      </c>
      <c r="D277" s="452">
        <v>300</v>
      </c>
      <c r="E277" s="452">
        <f t="shared" si="22"/>
        <v>1268</v>
      </c>
      <c r="F277" s="313"/>
      <c r="G277" s="451">
        <f t="shared" si="24"/>
        <v>968</v>
      </c>
      <c r="H277" s="435">
        <f t="shared" si="23"/>
        <v>322.66666666666663</v>
      </c>
      <c r="I277" s="314" t="s">
        <v>473</v>
      </c>
      <c r="J277" s="21">
        <v>634000</v>
      </c>
      <c r="K277" s="321" t="s">
        <v>9</v>
      </c>
      <c r="L277" s="322" t="s">
        <v>16</v>
      </c>
      <c r="M277" s="323">
        <v>2</v>
      </c>
      <c r="N277" s="323" t="s">
        <v>23</v>
      </c>
      <c r="O277" s="324" t="s">
        <v>15</v>
      </c>
      <c r="P277" s="72">
        <f t="shared" si="15"/>
        <v>1268000</v>
      </c>
      <c r="Q277" s="325" t="s">
        <v>9</v>
      </c>
    </row>
    <row r="278" spans="1:17" ht="17.45" customHeight="1">
      <c r="A278" s="212"/>
      <c r="B278" s="64"/>
      <c r="C278" s="311" t="s">
        <v>219</v>
      </c>
      <c r="D278" s="452">
        <v>300</v>
      </c>
      <c r="E278" s="452">
        <f t="shared" si="22"/>
        <v>300</v>
      </c>
      <c r="F278" s="313"/>
      <c r="G278" s="451">
        <f t="shared" si="24"/>
        <v>0</v>
      </c>
      <c r="H278" s="450">
        <f t="shared" ref="H278:H283" si="25">G278/D278*100</f>
        <v>0</v>
      </c>
      <c r="I278" s="314" t="s">
        <v>71</v>
      </c>
      <c r="J278" s="21">
        <v>300000</v>
      </c>
      <c r="K278" s="321" t="s">
        <v>9</v>
      </c>
      <c r="L278" s="322" t="s">
        <v>16</v>
      </c>
      <c r="M278" s="323">
        <v>1</v>
      </c>
      <c r="N278" s="323" t="s">
        <v>23</v>
      </c>
      <c r="O278" s="324" t="s">
        <v>15</v>
      </c>
      <c r="P278" s="72">
        <f t="shared" si="15"/>
        <v>300000</v>
      </c>
      <c r="Q278" s="325" t="s">
        <v>9</v>
      </c>
    </row>
    <row r="279" spans="1:17" ht="17.45" customHeight="1">
      <c r="A279" s="212"/>
      <c r="B279" s="64"/>
      <c r="C279" s="311" t="s">
        <v>203</v>
      </c>
      <c r="D279" s="452">
        <v>300</v>
      </c>
      <c r="E279" s="452">
        <f t="shared" si="22"/>
        <v>1650</v>
      </c>
      <c r="F279" s="313"/>
      <c r="G279" s="451">
        <f t="shared" si="24"/>
        <v>1350</v>
      </c>
      <c r="H279" s="450">
        <f t="shared" si="25"/>
        <v>450</v>
      </c>
      <c r="I279" s="314" t="s">
        <v>473</v>
      </c>
      <c r="J279" s="21">
        <v>825000</v>
      </c>
      <c r="K279" s="321" t="s">
        <v>9</v>
      </c>
      <c r="L279" s="322" t="s">
        <v>16</v>
      </c>
      <c r="M279" s="323">
        <v>2</v>
      </c>
      <c r="N279" s="323" t="s">
        <v>23</v>
      </c>
      <c r="O279" s="324" t="s">
        <v>15</v>
      </c>
      <c r="P279" s="72">
        <f t="shared" si="15"/>
        <v>1650000</v>
      </c>
      <c r="Q279" s="325" t="s">
        <v>9</v>
      </c>
    </row>
    <row r="280" spans="1:17" ht="17.45" customHeight="1">
      <c r="A280" s="212"/>
      <c r="B280" s="64"/>
      <c r="C280" s="311" t="s">
        <v>242</v>
      </c>
      <c r="D280" s="452">
        <v>300</v>
      </c>
      <c r="E280" s="452">
        <f t="shared" si="22"/>
        <v>300</v>
      </c>
      <c r="F280" s="313"/>
      <c r="G280" s="451">
        <f t="shared" si="24"/>
        <v>0</v>
      </c>
      <c r="H280" s="450">
        <f t="shared" si="25"/>
        <v>0</v>
      </c>
      <c r="I280" s="314" t="s">
        <v>71</v>
      </c>
      <c r="J280" s="21">
        <v>300000</v>
      </c>
      <c r="K280" s="321" t="s">
        <v>9</v>
      </c>
      <c r="L280" s="322" t="s">
        <v>16</v>
      </c>
      <c r="M280" s="323">
        <v>1</v>
      </c>
      <c r="N280" s="323" t="s">
        <v>23</v>
      </c>
      <c r="O280" s="324" t="s">
        <v>15</v>
      </c>
      <c r="P280" s="72">
        <f t="shared" si="15"/>
        <v>300000</v>
      </c>
      <c r="Q280" s="325" t="s">
        <v>9</v>
      </c>
    </row>
    <row r="281" spans="1:17" ht="17.45" customHeight="1">
      <c r="A281" s="212"/>
      <c r="B281" s="64"/>
      <c r="C281" s="311" t="s">
        <v>81</v>
      </c>
      <c r="D281" s="452">
        <v>5000</v>
      </c>
      <c r="E281" s="452">
        <f t="shared" si="22"/>
        <v>5000</v>
      </c>
      <c r="F281" s="313"/>
      <c r="G281" s="451">
        <f t="shared" si="24"/>
        <v>0</v>
      </c>
      <c r="H281" s="450">
        <f t="shared" si="25"/>
        <v>0</v>
      </c>
      <c r="I281" s="314" t="s">
        <v>71</v>
      </c>
      <c r="J281" s="21">
        <v>5000000</v>
      </c>
      <c r="K281" s="321" t="s">
        <v>9</v>
      </c>
      <c r="L281" s="322" t="s">
        <v>16</v>
      </c>
      <c r="M281" s="323">
        <v>1</v>
      </c>
      <c r="N281" s="323" t="s">
        <v>23</v>
      </c>
      <c r="O281" s="324" t="s">
        <v>15</v>
      </c>
      <c r="P281" s="72">
        <f t="shared" si="15"/>
        <v>5000000</v>
      </c>
      <c r="Q281" s="325" t="s">
        <v>9</v>
      </c>
    </row>
    <row r="282" spans="1:17" ht="17.45" customHeight="1">
      <c r="A282" s="212"/>
      <c r="B282" s="64"/>
      <c r="C282" s="320" t="s">
        <v>257</v>
      </c>
      <c r="D282" s="452">
        <v>300</v>
      </c>
      <c r="E282" s="452">
        <f t="shared" si="22"/>
        <v>300</v>
      </c>
      <c r="F282" s="313"/>
      <c r="G282" s="451">
        <f t="shared" si="24"/>
        <v>0</v>
      </c>
      <c r="H282" s="450">
        <f t="shared" si="25"/>
        <v>0</v>
      </c>
      <c r="I282" s="314" t="s">
        <v>71</v>
      </c>
      <c r="J282" s="21">
        <v>300000</v>
      </c>
      <c r="K282" s="321" t="s">
        <v>9</v>
      </c>
      <c r="L282" s="322" t="s">
        <v>16</v>
      </c>
      <c r="M282" s="323">
        <v>1</v>
      </c>
      <c r="N282" s="323" t="s">
        <v>23</v>
      </c>
      <c r="O282" s="324" t="s">
        <v>15</v>
      </c>
      <c r="P282" s="72">
        <f t="shared" si="15"/>
        <v>300000</v>
      </c>
      <c r="Q282" s="325" t="s">
        <v>9</v>
      </c>
    </row>
    <row r="283" spans="1:17" ht="17.45" customHeight="1">
      <c r="A283" s="212"/>
      <c r="B283" s="64"/>
      <c r="C283" s="320" t="s">
        <v>248</v>
      </c>
      <c r="D283" s="452">
        <v>300</v>
      </c>
      <c r="E283" s="452">
        <f t="shared" si="22"/>
        <v>300</v>
      </c>
      <c r="F283" s="313"/>
      <c r="G283" s="451">
        <f t="shared" si="24"/>
        <v>0</v>
      </c>
      <c r="H283" s="450">
        <f t="shared" si="25"/>
        <v>0</v>
      </c>
      <c r="I283" s="314" t="s">
        <v>71</v>
      </c>
      <c r="J283" s="72">
        <v>300000</v>
      </c>
      <c r="K283" s="321" t="s">
        <v>9</v>
      </c>
      <c r="L283" s="322" t="s">
        <v>16</v>
      </c>
      <c r="M283" s="323">
        <v>1</v>
      </c>
      <c r="N283" s="323" t="s">
        <v>23</v>
      </c>
      <c r="O283" s="324" t="s">
        <v>15</v>
      </c>
      <c r="P283" s="72">
        <f t="shared" si="15"/>
        <v>300000</v>
      </c>
      <c r="Q283" s="325" t="s">
        <v>9</v>
      </c>
    </row>
    <row r="284" spans="1:17" ht="17.45" customHeight="1">
      <c r="A284" s="212"/>
      <c r="B284" s="64"/>
      <c r="C284" s="320" t="s">
        <v>369</v>
      </c>
      <c r="D284" s="452">
        <v>300</v>
      </c>
      <c r="E284" s="452">
        <f t="shared" si="22"/>
        <v>300</v>
      </c>
      <c r="F284" s="313"/>
      <c r="G284" s="451">
        <f t="shared" si="24"/>
        <v>0</v>
      </c>
      <c r="H284" s="450">
        <f>+G284/D284*100</f>
        <v>0</v>
      </c>
      <c r="I284" s="314" t="s">
        <v>71</v>
      </c>
      <c r="J284" s="72">
        <v>300000</v>
      </c>
      <c r="K284" s="321" t="s">
        <v>9</v>
      </c>
      <c r="L284" s="322" t="s">
        <v>16</v>
      </c>
      <c r="M284" s="323">
        <v>1</v>
      </c>
      <c r="N284" s="323" t="s">
        <v>23</v>
      </c>
      <c r="O284" s="324" t="s">
        <v>15</v>
      </c>
      <c r="P284" s="72">
        <f t="shared" si="15"/>
        <v>300000</v>
      </c>
      <c r="Q284" s="325" t="s">
        <v>9</v>
      </c>
    </row>
    <row r="285" spans="1:17" ht="17.45" customHeight="1">
      <c r="A285" s="212"/>
      <c r="B285" s="64"/>
      <c r="C285" s="341" t="s">
        <v>347</v>
      </c>
      <c r="D285" s="452">
        <v>1800</v>
      </c>
      <c r="E285" s="452">
        <f t="shared" ref="E285:E290" si="26">P285/1000</f>
        <v>31454.56998</v>
      </c>
      <c r="F285" s="313"/>
      <c r="G285" s="451">
        <f t="shared" ref="G285:G297" si="27">+E285-D285</f>
        <v>29654.56998</v>
      </c>
      <c r="H285" s="450">
        <f>+G285/D285*100</f>
        <v>1647.4761099999998</v>
      </c>
      <c r="I285" s="343" t="s">
        <v>470</v>
      </c>
      <c r="J285" s="72">
        <v>10484856.66</v>
      </c>
      <c r="K285" s="321" t="s">
        <v>9</v>
      </c>
      <c r="L285" s="322" t="s">
        <v>16</v>
      </c>
      <c r="M285" s="323">
        <v>3</v>
      </c>
      <c r="N285" s="323" t="s">
        <v>23</v>
      </c>
      <c r="O285" s="324" t="s">
        <v>15</v>
      </c>
      <c r="P285" s="72">
        <f t="shared" si="15"/>
        <v>31454569.98</v>
      </c>
      <c r="Q285" s="325" t="s">
        <v>9</v>
      </c>
    </row>
    <row r="286" spans="1:17" ht="17.45" customHeight="1">
      <c r="A286" s="265"/>
      <c r="B286" s="399"/>
      <c r="C286" s="335" t="s">
        <v>266</v>
      </c>
      <c r="D286" s="439">
        <v>1200</v>
      </c>
      <c r="E286" s="439">
        <f t="shared" si="26"/>
        <v>6756</v>
      </c>
      <c r="F286" s="328"/>
      <c r="G286" s="424">
        <f t="shared" si="27"/>
        <v>5556</v>
      </c>
      <c r="H286" s="435">
        <f>+G286/D286*100</f>
        <v>463</v>
      </c>
      <c r="I286" s="314" t="s">
        <v>473</v>
      </c>
      <c r="J286" s="72">
        <v>2252000</v>
      </c>
      <c r="K286" s="321" t="s">
        <v>9</v>
      </c>
      <c r="L286" s="322" t="s">
        <v>16</v>
      </c>
      <c r="M286" s="323">
        <v>3</v>
      </c>
      <c r="N286" s="323" t="s">
        <v>23</v>
      </c>
      <c r="O286" s="324" t="s">
        <v>15</v>
      </c>
      <c r="P286" s="72">
        <f t="shared" si="15"/>
        <v>6756000</v>
      </c>
      <c r="Q286" s="325" t="s">
        <v>9</v>
      </c>
    </row>
    <row r="287" spans="1:17" ht="17.45" customHeight="1">
      <c r="A287" s="265"/>
      <c r="B287" s="399"/>
      <c r="C287" s="335" t="s">
        <v>268</v>
      </c>
      <c r="D287" s="439">
        <v>300</v>
      </c>
      <c r="E287" s="439">
        <f t="shared" si="26"/>
        <v>300</v>
      </c>
      <c r="F287" s="328"/>
      <c r="G287" s="424">
        <f t="shared" si="27"/>
        <v>0</v>
      </c>
      <c r="H287" s="435">
        <f>+G287/D287*100</f>
        <v>0</v>
      </c>
      <c r="I287" s="314" t="s">
        <v>71</v>
      </c>
      <c r="J287" s="72">
        <v>300000</v>
      </c>
      <c r="K287" s="321" t="s">
        <v>9</v>
      </c>
      <c r="L287" s="322" t="s">
        <v>16</v>
      </c>
      <c r="M287" s="323">
        <v>1</v>
      </c>
      <c r="N287" s="323" t="s">
        <v>23</v>
      </c>
      <c r="O287" s="324" t="s">
        <v>15</v>
      </c>
      <c r="P287" s="72">
        <f t="shared" si="15"/>
        <v>300000</v>
      </c>
      <c r="Q287" s="325" t="s">
        <v>9</v>
      </c>
    </row>
    <row r="288" spans="1:17" ht="17.45" customHeight="1">
      <c r="A288" s="265"/>
      <c r="B288" s="399"/>
      <c r="C288" s="344" t="s">
        <v>337</v>
      </c>
      <c r="D288" s="438">
        <v>1500</v>
      </c>
      <c r="E288" s="439">
        <f t="shared" si="26"/>
        <v>23989.999980000001</v>
      </c>
      <c r="F288" s="339"/>
      <c r="G288" s="424">
        <f t="shared" si="27"/>
        <v>22489.999980000001</v>
      </c>
      <c r="H288" s="435">
        <f>G288/D288*100</f>
        <v>1499.3333319999999</v>
      </c>
      <c r="I288" s="314" t="s">
        <v>473</v>
      </c>
      <c r="J288" s="72">
        <v>7996666.6600000001</v>
      </c>
      <c r="K288" s="321" t="s">
        <v>9</v>
      </c>
      <c r="L288" s="322" t="s">
        <v>16</v>
      </c>
      <c r="M288" s="323">
        <v>3</v>
      </c>
      <c r="N288" s="323" t="s">
        <v>23</v>
      </c>
      <c r="O288" s="324" t="s">
        <v>15</v>
      </c>
      <c r="P288" s="72">
        <f t="shared" ref="P288:P317" si="28">J288*M288</f>
        <v>23989999.98</v>
      </c>
      <c r="Q288" s="325" t="s">
        <v>9</v>
      </c>
    </row>
    <row r="289" spans="1:17" ht="17.45" customHeight="1">
      <c r="A289" s="265"/>
      <c r="B289" s="399"/>
      <c r="C289" s="341" t="s">
        <v>189</v>
      </c>
      <c r="D289" s="452">
        <v>900</v>
      </c>
      <c r="E289" s="452">
        <f t="shared" si="26"/>
        <v>900</v>
      </c>
      <c r="F289" s="313"/>
      <c r="G289" s="451">
        <f t="shared" si="27"/>
        <v>0</v>
      </c>
      <c r="H289" s="450">
        <f>G289/D289*100</f>
        <v>0</v>
      </c>
      <c r="I289" s="329" t="s">
        <v>71</v>
      </c>
      <c r="J289" s="69">
        <v>900000</v>
      </c>
      <c r="K289" s="330" t="s">
        <v>9</v>
      </c>
      <c r="L289" s="331" t="s">
        <v>16</v>
      </c>
      <c r="M289" s="332">
        <v>1</v>
      </c>
      <c r="N289" s="332" t="s">
        <v>23</v>
      </c>
      <c r="O289" s="333" t="s">
        <v>15</v>
      </c>
      <c r="P289" s="72">
        <f t="shared" si="28"/>
        <v>900000</v>
      </c>
      <c r="Q289" s="334" t="s">
        <v>9</v>
      </c>
    </row>
    <row r="290" spans="1:17" ht="17.45" customHeight="1">
      <c r="A290" s="265" t="s">
        <v>51</v>
      </c>
      <c r="B290" s="399" t="s">
        <v>51</v>
      </c>
      <c r="C290" s="345" t="s">
        <v>339</v>
      </c>
      <c r="D290" s="438">
        <v>1500</v>
      </c>
      <c r="E290" s="439">
        <f t="shared" si="26"/>
        <v>13370</v>
      </c>
      <c r="F290" s="339"/>
      <c r="G290" s="424">
        <f t="shared" si="27"/>
        <v>11870</v>
      </c>
      <c r="H290" s="435">
        <f t="shared" ref="H290:H294" si="29">+G290/D290*100</f>
        <v>791.33333333333326</v>
      </c>
      <c r="I290" s="343" t="s">
        <v>71</v>
      </c>
      <c r="J290" s="72">
        <v>6685000</v>
      </c>
      <c r="K290" s="321" t="s">
        <v>9</v>
      </c>
      <c r="L290" s="322" t="s">
        <v>16</v>
      </c>
      <c r="M290" s="323">
        <v>2</v>
      </c>
      <c r="N290" s="323" t="s">
        <v>23</v>
      </c>
      <c r="O290" s="324" t="s">
        <v>15</v>
      </c>
      <c r="P290" s="72">
        <f t="shared" si="28"/>
        <v>13370000</v>
      </c>
      <c r="Q290" s="325" t="s">
        <v>9</v>
      </c>
    </row>
    <row r="291" spans="1:17" ht="17.45" customHeight="1">
      <c r="A291" s="212"/>
      <c r="B291" s="64"/>
      <c r="C291" s="336" t="s">
        <v>251</v>
      </c>
      <c r="D291" s="420">
        <v>1200</v>
      </c>
      <c r="E291" s="452">
        <f t="shared" ref="E291:E299" si="30">P291/1000</f>
        <v>13070</v>
      </c>
      <c r="F291" s="337"/>
      <c r="G291" s="451">
        <f t="shared" si="27"/>
        <v>11870</v>
      </c>
      <c r="H291" s="450">
        <f t="shared" si="29"/>
        <v>989.16666666666674</v>
      </c>
      <c r="I291" s="314" t="s">
        <v>71</v>
      </c>
      <c r="J291" s="72">
        <v>6535000</v>
      </c>
      <c r="K291" s="321" t="s">
        <v>9</v>
      </c>
      <c r="L291" s="322" t="s">
        <v>16</v>
      </c>
      <c r="M291" s="323">
        <v>2</v>
      </c>
      <c r="N291" s="323" t="s">
        <v>23</v>
      </c>
      <c r="O291" s="324" t="s">
        <v>15</v>
      </c>
      <c r="P291" s="72">
        <f t="shared" si="28"/>
        <v>13070000</v>
      </c>
      <c r="Q291" s="325" t="s">
        <v>9</v>
      </c>
    </row>
    <row r="292" spans="1:17" ht="17.45" customHeight="1">
      <c r="A292" s="212"/>
      <c r="B292" s="64"/>
      <c r="C292" s="336" t="s">
        <v>284</v>
      </c>
      <c r="D292" s="420">
        <v>300</v>
      </c>
      <c r="E292" s="452">
        <f t="shared" si="30"/>
        <v>300</v>
      </c>
      <c r="F292" s="337"/>
      <c r="G292" s="451">
        <f t="shared" si="27"/>
        <v>0</v>
      </c>
      <c r="H292" s="450">
        <f t="shared" si="29"/>
        <v>0</v>
      </c>
      <c r="I292" s="343" t="s">
        <v>71</v>
      </c>
      <c r="J292" s="72">
        <v>300000</v>
      </c>
      <c r="K292" s="321" t="s">
        <v>9</v>
      </c>
      <c r="L292" s="322" t="s">
        <v>16</v>
      </c>
      <c r="M292" s="323">
        <v>1</v>
      </c>
      <c r="N292" s="323" t="s">
        <v>23</v>
      </c>
      <c r="O292" s="324" t="s">
        <v>15</v>
      </c>
      <c r="P292" s="72">
        <f t="shared" si="28"/>
        <v>300000</v>
      </c>
      <c r="Q292" s="325" t="s">
        <v>9</v>
      </c>
    </row>
    <row r="293" spans="1:17" ht="17.45" customHeight="1">
      <c r="A293" s="212"/>
      <c r="B293" s="64"/>
      <c r="C293" s="311" t="s">
        <v>198</v>
      </c>
      <c r="D293" s="452">
        <v>10000</v>
      </c>
      <c r="E293" s="452">
        <f t="shared" si="30"/>
        <v>10000</v>
      </c>
      <c r="F293" s="313"/>
      <c r="G293" s="451">
        <f t="shared" si="27"/>
        <v>0</v>
      </c>
      <c r="H293" s="450">
        <f t="shared" si="29"/>
        <v>0</v>
      </c>
      <c r="I293" s="343" t="s">
        <v>71</v>
      </c>
      <c r="J293" s="72">
        <v>2500000</v>
      </c>
      <c r="K293" s="321" t="s">
        <v>9</v>
      </c>
      <c r="L293" s="322" t="s">
        <v>16</v>
      </c>
      <c r="M293" s="323">
        <v>4</v>
      </c>
      <c r="N293" s="323" t="s">
        <v>23</v>
      </c>
      <c r="O293" s="324" t="s">
        <v>15</v>
      </c>
      <c r="P293" s="72">
        <f t="shared" si="28"/>
        <v>10000000</v>
      </c>
      <c r="Q293" s="325" t="s">
        <v>9</v>
      </c>
    </row>
    <row r="294" spans="1:17" ht="17.45" customHeight="1">
      <c r="A294" s="212"/>
      <c r="B294" s="64"/>
      <c r="C294" s="335" t="s">
        <v>349</v>
      </c>
      <c r="D294" s="439">
        <v>5000</v>
      </c>
      <c r="E294" s="439">
        <f t="shared" si="30"/>
        <v>5000</v>
      </c>
      <c r="F294" s="328"/>
      <c r="G294" s="424">
        <f t="shared" si="27"/>
        <v>0</v>
      </c>
      <c r="H294" s="435">
        <f t="shared" si="29"/>
        <v>0</v>
      </c>
      <c r="I294" s="314" t="s">
        <v>71</v>
      </c>
      <c r="J294" s="72">
        <v>5000000</v>
      </c>
      <c r="K294" s="321" t="s">
        <v>9</v>
      </c>
      <c r="L294" s="322" t="s">
        <v>16</v>
      </c>
      <c r="M294" s="323">
        <v>1</v>
      </c>
      <c r="N294" s="323" t="s">
        <v>23</v>
      </c>
      <c r="O294" s="324" t="s">
        <v>15</v>
      </c>
      <c r="P294" s="72">
        <f t="shared" si="28"/>
        <v>5000000</v>
      </c>
      <c r="Q294" s="325" t="s">
        <v>9</v>
      </c>
    </row>
    <row r="295" spans="1:17" ht="17.45" customHeight="1">
      <c r="A295" s="265"/>
      <c r="B295" s="399"/>
      <c r="C295" s="338" t="s">
        <v>186</v>
      </c>
      <c r="D295" s="438">
        <v>1500</v>
      </c>
      <c r="E295" s="439">
        <f t="shared" si="30"/>
        <v>22896.32</v>
      </c>
      <c r="F295" s="339"/>
      <c r="G295" s="424">
        <f t="shared" si="27"/>
        <v>21396.32</v>
      </c>
      <c r="H295" s="435">
        <f>G295/D295*100</f>
        <v>1426.4213333333332</v>
      </c>
      <c r="I295" s="343" t="s">
        <v>470</v>
      </c>
      <c r="J295" s="72">
        <v>11448160</v>
      </c>
      <c r="K295" s="321" t="s">
        <v>9</v>
      </c>
      <c r="L295" s="322" t="s">
        <v>16</v>
      </c>
      <c r="M295" s="323">
        <v>2</v>
      </c>
      <c r="N295" s="323" t="s">
        <v>23</v>
      </c>
      <c r="O295" s="324" t="s">
        <v>15</v>
      </c>
      <c r="P295" s="72">
        <f t="shared" si="28"/>
        <v>22896320</v>
      </c>
      <c r="Q295" s="325" t="s">
        <v>9</v>
      </c>
    </row>
    <row r="296" spans="1:17" ht="17.45" customHeight="1">
      <c r="A296" s="212"/>
      <c r="B296" s="64"/>
      <c r="C296" s="336" t="s">
        <v>229</v>
      </c>
      <c r="D296" s="420">
        <v>300</v>
      </c>
      <c r="E296" s="452">
        <f t="shared" si="30"/>
        <v>300</v>
      </c>
      <c r="F296" s="337"/>
      <c r="G296" s="451">
        <f t="shared" si="27"/>
        <v>0</v>
      </c>
      <c r="H296" s="450">
        <f>G296/D296*100</f>
        <v>0</v>
      </c>
      <c r="I296" s="314" t="s">
        <v>71</v>
      </c>
      <c r="J296" s="72">
        <v>300000</v>
      </c>
      <c r="K296" s="321" t="s">
        <v>9</v>
      </c>
      <c r="L296" s="322" t="s">
        <v>16</v>
      </c>
      <c r="M296" s="323">
        <v>1</v>
      </c>
      <c r="N296" s="323" t="s">
        <v>23</v>
      </c>
      <c r="O296" s="324" t="s">
        <v>15</v>
      </c>
      <c r="P296" s="72">
        <f t="shared" si="28"/>
        <v>300000</v>
      </c>
      <c r="Q296" s="325" t="s">
        <v>9</v>
      </c>
    </row>
    <row r="297" spans="1:17" ht="17.45" customHeight="1">
      <c r="A297" s="212"/>
      <c r="B297" s="64"/>
      <c r="C297" s="336" t="s">
        <v>218</v>
      </c>
      <c r="D297" s="420">
        <v>300</v>
      </c>
      <c r="E297" s="452">
        <f t="shared" si="30"/>
        <v>2300</v>
      </c>
      <c r="F297" s="337"/>
      <c r="G297" s="451">
        <f t="shared" si="27"/>
        <v>2000</v>
      </c>
      <c r="H297" s="450">
        <f>G297/D297*100</f>
        <v>666.66666666666674</v>
      </c>
      <c r="I297" s="314" t="s">
        <v>473</v>
      </c>
      <c r="J297" s="72">
        <v>1150000</v>
      </c>
      <c r="K297" s="321" t="s">
        <v>9</v>
      </c>
      <c r="L297" s="322" t="s">
        <v>16</v>
      </c>
      <c r="M297" s="323">
        <v>2</v>
      </c>
      <c r="N297" s="323" t="s">
        <v>23</v>
      </c>
      <c r="O297" s="324" t="s">
        <v>15</v>
      </c>
      <c r="P297" s="72">
        <f t="shared" si="28"/>
        <v>2300000</v>
      </c>
      <c r="Q297" s="325" t="s">
        <v>9</v>
      </c>
    </row>
    <row r="298" spans="1:17" ht="17.45" customHeight="1">
      <c r="A298" s="212"/>
      <c r="B298" s="64"/>
      <c r="C298" s="336" t="s">
        <v>230</v>
      </c>
      <c r="D298" s="420">
        <v>2100</v>
      </c>
      <c r="E298" s="452">
        <f t="shared" si="30"/>
        <v>2100</v>
      </c>
      <c r="F298" s="337"/>
      <c r="G298" s="451">
        <f t="shared" ref="G298:G310" si="31">+E298-D298</f>
        <v>0</v>
      </c>
      <c r="H298" s="450">
        <f>G298/D298*100</f>
        <v>0</v>
      </c>
      <c r="I298" s="314" t="s">
        <v>71</v>
      </c>
      <c r="J298" s="72">
        <v>2100000</v>
      </c>
      <c r="K298" s="321" t="s">
        <v>9</v>
      </c>
      <c r="L298" s="322" t="s">
        <v>16</v>
      </c>
      <c r="M298" s="323">
        <v>1</v>
      </c>
      <c r="N298" s="323" t="s">
        <v>23</v>
      </c>
      <c r="O298" s="324" t="s">
        <v>15</v>
      </c>
      <c r="P298" s="72">
        <f t="shared" si="28"/>
        <v>2100000</v>
      </c>
      <c r="Q298" s="325" t="s">
        <v>9</v>
      </c>
    </row>
    <row r="299" spans="1:17" ht="17.45" customHeight="1">
      <c r="A299" s="212"/>
      <c r="B299" s="64"/>
      <c r="C299" s="336" t="s">
        <v>233</v>
      </c>
      <c r="D299" s="420">
        <v>300</v>
      </c>
      <c r="E299" s="452">
        <f t="shared" si="30"/>
        <v>1905.54</v>
      </c>
      <c r="F299" s="337"/>
      <c r="G299" s="451">
        <f t="shared" si="31"/>
        <v>1605.54</v>
      </c>
      <c r="H299" s="450">
        <f>G299/D299*100</f>
        <v>535.17999999999995</v>
      </c>
      <c r="I299" s="314" t="s">
        <v>473</v>
      </c>
      <c r="J299" s="72">
        <v>952770</v>
      </c>
      <c r="K299" s="321" t="s">
        <v>9</v>
      </c>
      <c r="L299" s="322" t="s">
        <v>16</v>
      </c>
      <c r="M299" s="323">
        <v>2</v>
      </c>
      <c r="N299" s="323" t="s">
        <v>23</v>
      </c>
      <c r="O299" s="324" t="s">
        <v>15</v>
      </c>
      <c r="P299" s="72">
        <f t="shared" si="28"/>
        <v>1905540</v>
      </c>
      <c r="Q299" s="325" t="s">
        <v>9</v>
      </c>
    </row>
    <row r="300" spans="1:17" ht="17.45" customHeight="1">
      <c r="A300" s="212"/>
      <c r="B300" s="64"/>
      <c r="C300" s="340" t="s">
        <v>315</v>
      </c>
      <c r="D300" s="420">
        <v>34000</v>
      </c>
      <c r="E300" s="452">
        <f t="shared" ref="E300:E310" si="32">P300/1000</f>
        <v>34000</v>
      </c>
      <c r="F300" s="337"/>
      <c r="G300" s="451">
        <f t="shared" si="31"/>
        <v>0</v>
      </c>
      <c r="H300" s="450">
        <f t="shared" ref="H300:H306" si="33">+G300/D300*100</f>
        <v>0</v>
      </c>
      <c r="I300" s="314" t="s">
        <v>71</v>
      </c>
      <c r="J300" s="72">
        <v>8500000</v>
      </c>
      <c r="K300" s="321" t="s">
        <v>9</v>
      </c>
      <c r="L300" s="322" t="s">
        <v>16</v>
      </c>
      <c r="M300" s="323">
        <v>4</v>
      </c>
      <c r="N300" s="323" t="s">
        <v>23</v>
      </c>
      <c r="O300" s="324" t="s">
        <v>15</v>
      </c>
      <c r="P300" s="72">
        <f t="shared" si="28"/>
        <v>34000000</v>
      </c>
      <c r="Q300" s="325" t="s">
        <v>9</v>
      </c>
    </row>
    <row r="301" spans="1:17" ht="17.45" customHeight="1">
      <c r="A301" s="212"/>
      <c r="B301" s="64"/>
      <c r="C301" s="340" t="s">
        <v>368</v>
      </c>
      <c r="D301" s="420">
        <v>300</v>
      </c>
      <c r="E301" s="452">
        <f t="shared" si="32"/>
        <v>3215</v>
      </c>
      <c r="F301" s="337"/>
      <c r="G301" s="451">
        <f t="shared" si="31"/>
        <v>2915</v>
      </c>
      <c r="H301" s="450">
        <f t="shared" si="33"/>
        <v>971.66666666666663</v>
      </c>
      <c r="I301" s="314" t="s">
        <v>473</v>
      </c>
      <c r="J301" s="72">
        <v>1607500</v>
      </c>
      <c r="K301" s="321" t="s">
        <v>9</v>
      </c>
      <c r="L301" s="322" t="s">
        <v>16</v>
      </c>
      <c r="M301" s="323">
        <v>2</v>
      </c>
      <c r="N301" s="323" t="s">
        <v>23</v>
      </c>
      <c r="O301" s="324" t="s">
        <v>15</v>
      </c>
      <c r="P301" s="72">
        <f t="shared" si="28"/>
        <v>3215000</v>
      </c>
      <c r="Q301" s="325" t="s">
        <v>9</v>
      </c>
    </row>
    <row r="302" spans="1:17" ht="17.45" customHeight="1">
      <c r="A302" s="212"/>
      <c r="B302" s="64"/>
      <c r="C302" s="340" t="s">
        <v>321</v>
      </c>
      <c r="D302" s="420">
        <v>5000</v>
      </c>
      <c r="E302" s="452">
        <f t="shared" si="32"/>
        <v>5000</v>
      </c>
      <c r="F302" s="337"/>
      <c r="G302" s="451">
        <f t="shared" si="31"/>
        <v>0</v>
      </c>
      <c r="H302" s="450">
        <f t="shared" si="33"/>
        <v>0</v>
      </c>
      <c r="I302" s="314" t="s">
        <v>71</v>
      </c>
      <c r="J302" s="72">
        <v>1250000</v>
      </c>
      <c r="K302" s="321" t="s">
        <v>9</v>
      </c>
      <c r="L302" s="322" t="s">
        <v>16</v>
      </c>
      <c r="M302" s="323">
        <v>4</v>
      </c>
      <c r="N302" s="323" t="s">
        <v>23</v>
      </c>
      <c r="O302" s="324" t="s">
        <v>15</v>
      </c>
      <c r="P302" s="72">
        <f t="shared" si="28"/>
        <v>5000000</v>
      </c>
      <c r="Q302" s="325" t="s">
        <v>9</v>
      </c>
    </row>
    <row r="303" spans="1:17" ht="17.45" customHeight="1">
      <c r="A303" s="212"/>
      <c r="B303" s="64"/>
      <c r="C303" s="340" t="s">
        <v>285</v>
      </c>
      <c r="D303" s="420">
        <v>0</v>
      </c>
      <c r="E303" s="452">
        <f t="shared" si="32"/>
        <v>53122.94</v>
      </c>
      <c r="F303" s="337"/>
      <c r="G303" s="451">
        <f t="shared" si="31"/>
        <v>53122.94</v>
      </c>
      <c r="H303" s="450">
        <v>0</v>
      </c>
      <c r="I303" s="314" t="s">
        <v>343</v>
      </c>
      <c r="J303" s="72">
        <v>53122940</v>
      </c>
      <c r="K303" s="321" t="s">
        <v>9</v>
      </c>
      <c r="L303" s="322" t="s">
        <v>16</v>
      </c>
      <c r="M303" s="323">
        <v>1</v>
      </c>
      <c r="N303" s="323" t="s">
        <v>23</v>
      </c>
      <c r="O303" s="324" t="s">
        <v>15</v>
      </c>
      <c r="P303" s="72">
        <f t="shared" si="28"/>
        <v>53122940</v>
      </c>
      <c r="Q303" s="325" t="s">
        <v>9</v>
      </c>
    </row>
    <row r="304" spans="1:17" ht="17.45" customHeight="1">
      <c r="A304" s="265"/>
      <c r="B304" s="399"/>
      <c r="C304" s="340" t="s">
        <v>288</v>
      </c>
      <c r="D304" s="420">
        <v>70000</v>
      </c>
      <c r="E304" s="452">
        <f t="shared" si="32"/>
        <v>82184.350000000006</v>
      </c>
      <c r="F304" s="337"/>
      <c r="G304" s="451">
        <f t="shared" si="31"/>
        <v>12184.350000000006</v>
      </c>
      <c r="H304" s="450">
        <f t="shared" si="33"/>
        <v>17.406214285714295</v>
      </c>
      <c r="I304" s="343" t="s">
        <v>470</v>
      </c>
      <c r="J304" s="72">
        <v>16436870</v>
      </c>
      <c r="K304" s="321" t="s">
        <v>9</v>
      </c>
      <c r="L304" s="322" t="s">
        <v>16</v>
      </c>
      <c r="M304" s="323">
        <v>5</v>
      </c>
      <c r="N304" s="323" t="s">
        <v>23</v>
      </c>
      <c r="O304" s="324" t="s">
        <v>15</v>
      </c>
      <c r="P304" s="72">
        <f t="shared" si="28"/>
        <v>82184350</v>
      </c>
      <c r="Q304" s="325" t="s">
        <v>9</v>
      </c>
    </row>
    <row r="305" spans="1:17" ht="17.45" customHeight="1">
      <c r="A305" s="212"/>
      <c r="B305" s="64"/>
      <c r="C305" s="336" t="s">
        <v>175</v>
      </c>
      <c r="D305" s="420">
        <v>900</v>
      </c>
      <c r="E305" s="452">
        <f t="shared" si="32"/>
        <v>13744.999980000001</v>
      </c>
      <c r="F305" s="337"/>
      <c r="G305" s="451">
        <f t="shared" si="31"/>
        <v>12844.999980000001</v>
      </c>
      <c r="H305" s="450">
        <f t="shared" si="33"/>
        <v>1427.2222199999999</v>
      </c>
      <c r="I305" s="314" t="s">
        <v>473</v>
      </c>
      <c r="J305" s="72">
        <v>4581666.66</v>
      </c>
      <c r="K305" s="321" t="s">
        <v>9</v>
      </c>
      <c r="L305" s="322" t="s">
        <v>16</v>
      </c>
      <c r="M305" s="323">
        <v>3</v>
      </c>
      <c r="N305" s="323" t="s">
        <v>23</v>
      </c>
      <c r="O305" s="324" t="s">
        <v>15</v>
      </c>
      <c r="P305" s="72">
        <f t="shared" si="28"/>
        <v>13744999.98</v>
      </c>
      <c r="Q305" s="325" t="s">
        <v>9</v>
      </c>
    </row>
    <row r="306" spans="1:17" ht="17.45" customHeight="1">
      <c r="A306" s="212"/>
      <c r="B306" s="64"/>
      <c r="C306" s="340" t="s">
        <v>371</v>
      </c>
      <c r="D306" s="420">
        <v>300</v>
      </c>
      <c r="E306" s="452">
        <f t="shared" si="32"/>
        <v>300</v>
      </c>
      <c r="F306" s="337"/>
      <c r="G306" s="451">
        <f t="shared" si="31"/>
        <v>0</v>
      </c>
      <c r="H306" s="450">
        <f t="shared" si="33"/>
        <v>0</v>
      </c>
      <c r="I306" s="314" t="s">
        <v>71</v>
      </c>
      <c r="J306" s="72">
        <v>300000</v>
      </c>
      <c r="K306" s="321" t="s">
        <v>9</v>
      </c>
      <c r="L306" s="322" t="s">
        <v>16</v>
      </c>
      <c r="M306" s="323">
        <v>1</v>
      </c>
      <c r="N306" s="323" t="s">
        <v>23</v>
      </c>
      <c r="O306" s="324" t="s">
        <v>15</v>
      </c>
      <c r="P306" s="72">
        <f t="shared" si="28"/>
        <v>300000</v>
      </c>
      <c r="Q306" s="325" t="s">
        <v>9</v>
      </c>
    </row>
    <row r="307" spans="1:17" ht="17.45" customHeight="1">
      <c r="A307" s="212"/>
      <c r="B307" s="64"/>
      <c r="C307" s="340" t="s">
        <v>282</v>
      </c>
      <c r="D307" s="420">
        <v>300</v>
      </c>
      <c r="E307" s="452">
        <f t="shared" si="32"/>
        <v>300</v>
      </c>
      <c r="F307" s="337"/>
      <c r="G307" s="451">
        <f t="shared" si="31"/>
        <v>0</v>
      </c>
      <c r="H307" s="450">
        <f>G307/D307*100</f>
        <v>0</v>
      </c>
      <c r="I307" s="314" t="s">
        <v>71</v>
      </c>
      <c r="J307" s="72">
        <v>300000</v>
      </c>
      <c r="K307" s="321" t="s">
        <v>9</v>
      </c>
      <c r="L307" s="322" t="s">
        <v>16</v>
      </c>
      <c r="M307" s="323">
        <v>1</v>
      </c>
      <c r="N307" s="323" t="s">
        <v>23</v>
      </c>
      <c r="O307" s="324" t="s">
        <v>15</v>
      </c>
      <c r="P307" s="72">
        <f t="shared" si="28"/>
        <v>300000</v>
      </c>
      <c r="Q307" s="325" t="s">
        <v>9</v>
      </c>
    </row>
    <row r="308" spans="1:17" ht="17.45" customHeight="1">
      <c r="A308" s="212"/>
      <c r="B308" s="64"/>
      <c r="C308" s="320" t="s">
        <v>361</v>
      </c>
      <c r="D308" s="420">
        <v>1800</v>
      </c>
      <c r="E308" s="452">
        <f t="shared" si="32"/>
        <v>4800</v>
      </c>
      <c r="F308" s="337"/>
      <c r="G308" s="451">
        <f t="shared" si="31"/>
        <v>3000</v>
      </c>
      <c r="H308" s="450">
        <f>G308/D308*100</f>
        <v>166.66666666666669</v>
      </c>
      <c r="I308" s="314" t="s">
        <v>473</v>
      </c>
      <c r="J308" s="72">
        <v>2400000</v>
      </c>
      <c r="K308" s="321" t="s">
        <v>9</v>
      </c>
      <c r="L308" s="322" t="s">
        <v>16</v>
      </c>
      <c r="M308" s="323">
        <v>2</v>
      </c>
      <c r="N308" s="323" t="s">
        <v>23</v>
      </c>
      <c r="O308" s="324" t="s">
        <v>15</v>
      </c>
      <c r="P308" s="72">
        <f t="shared" si="28"/>
        <v>4800000</v>
      </c>
      <c r="Q308" s="325" t="s">
        <v>9</v>
      </c>
    </row>
    <row r="309" spans="1:17" ht="17.45" customHeight="1">
      <c r="A309" s="212"/>
      <c r="B309" s="64"/>
      <c r="C309" s="320" t="s">
        <v>275</v>
      </c>
      <c r="D309" s="420">
        <v>900</v>
      </c>
      <c r="E309" s="452">
        <f t="shared" si="32"/>
        <v>900</v>
      </c>
      <c r="F309" s="337"/>
      <c r="G309" s="451">
        <f t="shared" si="31"/>
        <v>0</v>
      </c>
      <c r="H309" s="450">
        <f>G309/D309*100</f>
        <v>0</v>
      </c>
      <c r="I309" s="314" t="s">
        <v>71</v>
      </c>
      <c r="J309" s="72">
        <v>900000</v>
      </c>
      <c r="K309" s="321" t="s">
        <v>9</v>
      </c>
      <c r="L309" s="322" t="s">
        <v>16</v>
      </c>
      <c r="M309" s="323">
        <v>1</v>
      </c>
      <c r="N309" s="323" t="s">
        <v>23</v>
      </c>
      <c r="O309" s="324" t="s">
        <v>15</v>
      </c>
      <c r="P309" s="72">
        <f t="shared" si="28"/>
        <v>900000</v>
      </c>
      <c r="Q309" s="325" t="s">
        <v>9</v>
      </c>
    </row>
    <row r="310" spans="1:17" ht="17.45" customHeight="1">
      <c r="A310" s="212"/>
      <c r="B310" s="64"/>
      <c r="C310" s="340" t="s">
        <v>267</v>
      </c>
      <c r="D310" s="420">
        <v>300</v>
      </c>
      <c r="E310" s="452">
        <f t="shared" si="32"/>
        <v>300</v>
      </c>
      <c r="F310" s="337"/>
      <c r="G310" s="451">
        <f t="shared" si="31"/>
        <v>0</v>
      </c>
      <c r="H310" s="450">
        <f>G310/D310*100</f>
        <v>0</v>
      </c>
      <c r="I310" s="314" t="s">
        <v>71</v>
      </c>
      <c r="J310" s="72">
        <v>300000</v>
      </c>
      <c r="K310" s="321" t="s">
        <v>9</v>
      </c>
      <c r="L310" s="322" t="s">
        <v>16</v>
      </c>
      <c r="M310" s="323">
        <v>1</v>
      </c>
      <c r="N310" s="323" t="s">
        <v>23</v>
      </c>
      <c r="O310" s="324" t="s">
        <v>15</v>
      </c>
      <c r="P310" s="72">
        <f t="shared" si="28"/>
        <v>300000</v>
      </c>
      <c r="Q310" s="325" t="s">
        <v>9</v>
      </c>
    </row>
    <row r="311" spans="1:17" ht="17.45" customHeight="1">
      <c r="A311" s="212"/>
      <c r="B311" s="64"/>
      <c r="C311" s="336" t="s">
        <v>148</v>
      </c>
      <c r="D311" s="420">
        <v>1800</v>
      </c>
      <c r="E311" s="452">
        <f t="shared" ref="E311:E317" si="34">P311/1000</f>
        <v>1800</v>
      </c>
      <c r="F311" s="337"/>
      <c r="G311" s="451">
        <f t="shared" ref="G311:G318" si="35">+E311-D311</f>
        <v>0</v>
      </c>
      <c r="H311" s="450">
        <f t="shared" ref="H311:H317" si="36">+G311/D311*100</f>
        <v>0</v>
      </c>
      <c r="I311" s="314" t="s">
        <v>71</v>
      </c>
      <c r="J311" s="72">
        <v>1800000</v>
      </c>
      <c r="K311" s="321" t="s">
        <v>9</v>
      </c>
      <c r="L311" s="322" t="s">
        <v>16</v>
      </c>
      <c r="M311" s="323">
        <v>1</v>
      </c>
      <c r="N311" s="323" t="s">
        <v>23</v>
      </c>
      <c r="O311" s="324" t="s">
        <v>15</v>
      </c>
      <c r="P311" s="72">
        <f t="shared" si="28"/>
        <v>1800000</v>
      </c>
      <c r="Q311" s="325" t="s">
        <v>9</v>
      </c>
    </row>
    <row r="312" spans="1:17" ht="17.45" customHeight="1">
      <c r="A312" s="212"/>
      <c r="B312" s="64"/>
      <c r="C312" s="336" t="s">
        <v>207</v>
      </c>
      <c r="D312" s="420">
        <v>5000</v>
      </c>
      <c r="E312" s="452">
        <f t="shared" si="34"/>
        <v>10884.349980000001</v>
      </c>
      <c r="F312" s="337"/>
      <c r="G312" s="451">
        <f t="shared" si="35"/>
        <v>5884.3499800000009</v>
      </c>
      <c r="H312" s="450">
        <f t="shared" si="36"/>
        <v>117.68699960000002</v>
      </c>
      <c r="I312" s="314" t="s">
        <v>473</v>
      </c>
      <c r="J312" s="72">
        <v>3628116.66</v>
      </c>
      <c r="K312" s="321" t="s">
        <v>9</v>
      </c>
      <c r="L312" s="322" t="s">
        <v>16</v>
      </c>
      <c r="M312" s="323">
        <v>3</v>
      </c>
      <c r="N312" s="323" t="s">
        <v>23</v>
      </c>
      <c r="O312" s="324" t="s">
        <v>15</v>
      </c>
      <c r="P312" s="72">
        <f t="shared" si="28"/>
        <v>10884349.98</v>
      </c>
      <c r="Q312" s="325" t="s">
        <v>9</v>
      </c>
    </row>
    <row r="313" spans="1:17" ht="17.45" customHeight="1">
      <c r="A313" s="212"/>
      <c r="B313" s="64"/>
      <c r="C313" s="311" t="s">
        <v>357</v>
      </c>
      <c r="D313" s="452">
        <v>1800</v>
      </c>
      <c r="E313" s="452">
        <f t="shared" si="34"/>
        <v>3800</v>
      </c>
      <c r="F313" s="313"/>
      <c r="G313" s="451">
        <f t="shared" si="35"/>
        <v>2000</v>
      </c>
      <c r="H313" s="450">
        <f t="shared" si="36"/>
        <v>111.11111111111111</v>
      </c>
      <c r="I313" s="314" t="s">
        <v>473</v>
      </c>
      <c r="J313" s="72">
        <v>1900000</v>
      </c>
      <c r="K313" s="321" t="s">
        <v>9</v>
      </c>
      <c r="L313" s="322" t="s">
        <v>16</v>
      </c>
      <c r="M313" s="323">
        <v>2</v>
      </c>
      <c r="N313" s="323" t="s">
        <v>23</v>
      </c>
      <c r="O313" s="324" t="s">
        <v>15</v>
      </c>
      <c r="P313" s="72">
        <f t="shared" si="28"/>
        <v>3800000</v>
      </c>
      <c r="Q313" s="325" t="s">
        <v>9</v>
      </c>
    </row>
    <row r="314" spans="1:17" ht="17.45" customHeight="1">
      <c r="A314" s="212"/>
      <c r="B314" s="64"/>
      <c r="C314" s="311" t="s">
        <v>226</v>
      </c>
      <c r="D314" s="452">
        <v>600</v>
      </c>
      <c r="E314" s="452">
        <f t="shared" si="34"/>
        <v>600</v>
      </c>
      <c r="F314" s="337"/>
      <c r="G314" s="451">
        <f t="shared" si="35"/>
        <v>0</v>
      </c>
      <c r="H314" s="450">
        <f t="shared" si="36"/>
        <v>0</v>
      </c>
      <c r="I314" s="314" t="s">
        <v>71</v>
      </c>
      <c r="J314" s="72">
        <v>600000</v>
      </c>
      <c r="K314" s="321" t="s">
        <v>9</v>
      </c>
      <c r="L314" s="322" t="s">
        <v>16</v>
      </c>
      <c r="M314" s="323">
        <v>1</v>
      </c>
      <c r="N314" s="323" t="s">
        <v>23</v>
      </c>
      <c r="O314" s="324" t="s">
        <v>15</v>
      </c>
      <c r="P314" s="72">
        <f t="shared" si="28"/>
        <v>600000</v>
      </c>
      <c r="Q314" s="325" t="s">
        <v>9</v>
      </c>
    </row>
    <row r="315" spans="1:17" ht="17.45" customHeight="1">
      <c r="A315" s="212"/>
      <c r="B315" s="64"/>
      <c r="C315" s="320" t="s">
        <v>197</v>
      </c>
      <c r="D315" s="452">
        <v>1500</v>
      </c>
      <c r="E315" s="452">
        <f>P315/1000</f>
        <v>1500</v>
      </c>
      <c r="F315" s="313"/>
      <c r="G315" s="451">
        <f>+E315-D315</f>
        <v>0</v>
      </c>
      <c r="H315" s="450">
        <f>+G315/D315*100</f>
        <v>0</v>
      </c>
      <c r="I315" s="314" t="s">
        <v>71</v>
      </c>
      <c r="J315" s="72">
        <v>1500000</v>
      </c>
      <c r="K315" s="321" t="s">
        <v>9</v>
      </c>
      <c r="L315" s="322" t="s">
        <v>16</v>
      </c>
      <c r="M315" s="323">
        <v>1</v>
      </c>
      <c r="N315" s="323" t="s">
        <v>23</v>
      </c>
      <c r="O315" s="324" t="s">
        <v>15</v>
      </c>
      <c r="P315" s="72">
        <f t="shared" si="28"/>
        <v>1500000</v>
      </c>
      <c r="Q315" s="325" t="s">
        <v>9</v>
      </c>
    </row>
    <row r="316" spans="1:17" ht="17.45" customHeight="1">
      <c r="A316" s="265"/>
      <c r="B316" s="399"/>
      <c r="C316" s="311" t="s">
        <v>153</v>
      </c>
      <c r="D316" s="452">
        <v>15000</v>
      </c>
      <c r="E316" s="452">
        <f t="shared" si="34"/>
        <v>10000</v>
      </c>
      <c r="F316" s="313"/>
      <c r="G316" s="451">
        <f t="shared" si="35"/>
        <v>-5000</v>
      </c>
      <c r="H316" s="450">
        <f t="shared" si="36"/>
        <v>-33.333333333333329</v>
      </c>
      <c r="I316" s="314" t="s">
        <v>71</v>
      </c>
      <c r="J316" s="72">
        <v>5000000</v>
      </c>
      <c r="K316" s="321" t="s">
        <v>9</v>
      </c>
      <c r="L316" s="322" t="s">
        <v>16</v>
      </c>
      <c r="M316" s="323">
        <v>2</v>
      </c>
      <c r="N316" s="323" t="s">
        <v>23</v>
      </c>
      <c r="O316" s="324" t="s">
        <v>15</v>
      </c>
      <c r="P316" s="72">
        <f t="shared" si="28"/>
        <v>10000000</v>
      </c>
      <c r="Q316" s="325" t="s">
        <v>9</v>
      </c>
    </row>
    <row r="317" spans="1:17" ht="17.45" customHeight="1">
      <c r="A317" s="265"/>
      <c r="B317" s="399"/>
      <c r="C317" s="320" t="s">
        <v>348</v>
      </c>
      <c r="D317" s="452">
        <v>110000</v>
      </c>
      <c r="E317" s="452">
        <f t="shared" si="34"/>
        <v>110000</v>
      </c>
      <c r="F317" s="313"/>
      <c r="G317" s="451">
        <f t="shared" si="35"/>
        <v>0</v>
      </c>
      <c r="H317" s="450">
        <f t="shared" si="36"/>
        <v>0</v>
      </c>
      <c r="I317" s="329" t="s">
        <v>201</v>
      </c>
      <c r="J317" s="69">
        <v>110000000</v>
      </c>
      <c r="K317" s="330" t="s">
        <v>9</v>
      </c>
      <c r="L317" s="331" t="s">
        <v>16</v>
      </c>
      <c r="M317" s="332">
        <v>1</v>
      </c>
      <c r="N317" s="332" t="s">
        <v>23</v>
      </c>
      <c r="O317" s="333" t="s">
        <v>15</v>
      </c>
      <c r="P317" s="69">
        <f t="shared" si="28"/>
        <v>110000000</v>
      </c>
      <c r="Q317" s="334" t="s">
        <v>9</v>
      </c>
    </row>
    <row r="318" spans="1:17" ht="21.75" customHeight="1">
      <c r="A318" s="307" t="s">
        <v>37</v>
      </c>
      <c r="B318" s="494" t="s">
        <v>22</v>
      </c>
      <c r="C318" s="502"/>
      <c r="D318" s="346">
        <f>SUM(D319:D328)</f>
        <v>3932067</v>
      </c>
      <c r="E318" s="393">
        <f>P318/1000</f>
        <v>3992533.2140000002</v>
      </c>
      <c r="F318" s="347">
        <f>SUM(F320:F322)</f>
        <v>0</v>
      </c>
      <c r="G318" s="348">
        <f t="shared" si="35"/>
        <v>60466.214000000153</v>
      </c>
      <c r="H318" s="349">
        <f>+G318/D318*100</f>
        <v>1.5377717114179426</v>
      </c>
      <c r="I318" s="445"/>
      <c r="J318" s="63"/>
      <c r="K318" s="153"/>
      <c r="L318" s="398"/>
      <c r="M318" s="398" t="s">
        <v>55</v>
      </c>
      <c r="N318" s="398"/>
      <c r="O318" s="398"/>
      <c r="P318" s="63">
        <f>SUM(P319,P323,P327)</f>
        <v>3992533214</v>
      </c>
      <c r="Q318" s="59" t="s">
        <v>9</v>
      </c>
    </row>
    <row r="319" spans="1:17" ht="18.75" customHeight="1">
      <c r="A319" s="281" t="s">
        <v>221</v>
      </c>
      <c r="B319" s="666" t="s">
        <v>326</v>
      </c>
      <c r="C319" s="613" t="s">
        <v>37</v>
      </c>
      <c r="D319" s="610">
        <v>3925182</v>
      </c>
      <c r="E319" s="617">
        <f>(P319/1000)-1</f>
        <v>3985628.5869999998</v>
      </c>
      <c r="F319" s="350"/>
      <c r="G319" s="569">
        <f>E319-D319</f>
        <v>60446.586999999825</v>
      </c>
      <c r="H319" s="574">
        <f>G319/D319*100</f>
        <v>1.5399690256400806</v>
      </c>
      <c r="I319" s="444"/>
      <c r="J319" s="63"/>
      <c r="K319" s="153"/>
      <c r="L319" s="398"/>
      <c r="M319" s="398"/>
      <c r="N319" s="398"/>
      <c r="O319" s="398"/>
      <c r="P319" s="63">
        <f>SUM(P320:P322)</f>
        <v>3985629587</v>
      </c>
      <c r="Q319" s="59" t="s">
        <v>9</v>
      </c>
    </row>
    <row r="320" spans="1:17" ht="16.5" customHeight="1">
      <c r="A320" s="212"/>
      <c r="B320" s="667"/>
      <c r="C320" s="615"/>
      <c r="D320" s="611"/>
      <c r="E320" s="664"/>
      <c r="F320" s="350"/>
      <c r="G320" s="570"/>
      <c r="H320" s="575"/>
      <c r="I320" s="351" t="s">
        <v>296</v>
      </c>
      <c r="J320" s="72">
        <v>1646685413</v>
      </c>
      <c r="K320" s="22" t="s">
        <v>9</v>
      </c>
      <c r="L320" s="23" t="s">
        <v>16</v>
      </c>
      <c r="M320" s="436">
        <v>1</v>
      </c>
      <c r="N320" s="436" t="s">
        <v>23</v>
      </c>
      <c r="O320" s="24" t="s">
        <v>15</v>
      </c>
      <c r="P320" s="72">
        <f>+J320*M320</f>
        <v>1646685413</v>
      </c>
      <c r="Q320" s="12" t="s">
        <v>9</v>
      </c>
    </row>
    <row r="321" spans="1:17" ht="16.5" customHeight="1">
      <c r="A321" s="212"/>
      <c r="B321" s="667"/>
      <c r="C321" s="615"/>
      <c r="D321" s="611"/>
      <c r="E321" s="664"/>
      <c r="F321" s="352"/>
      <c r="G321" s="570"/>
      <c r="H321" s="575"/>
      <c r="I321" s="353" t="s">
        <v>118</v>
      </c>
      <c r="J321" s="72">
        <v>866412840</v>
      </c>
      <c r="K321" s="22" t="s">
        <v>9</v>
      </c>
      <c r="L321" s="23" t="s">
        <v>16</v>
      </c>
      <c r="M321" s="436">
        <v>1</v>
      </c>
      <c r="N321" s="436" t="s">
        <v>23</v>
      </c>
      <c r="O321" s="24" t="s">
        <v>15</v>
      </c>
      <c r="P321" s="72">
        <f>+J321*M321</f>
        <v>866412840</v>
      </c>
      <c r="Q321" s="12" t="s">
        <v>9</v>
      </c>
    </row>
    <row r="322" spans="1:17" ht="16.5" customHeight="1">
      <c r="A322" s="212"/>
      <c r="B322" s="667"/>
      <c r="C322" s="616"/>
      <c r="D322" s="612"/>
      <c r="E322" s="665"/>
      <c r="F322" s="269"/>
      <c r="G322" s="577"/>
      <c r="H322" s="576"/>
      <c r="I322" s="354" t="s">
        <v>124</v>
      </c>
      <c r="J322" s="355">
        <v>1472531334</v>
      </c>
      <c r="K322" s="14" t="s">
        <v>9</v>
      </c>
      <c r="L322" s="15" t="s">
        <v>16</v>
      </c>
      <c r="M322" s="16">
        <v>1</v>
      </c>
      <c r="N322" s="16" t="s">
        <v>23</v>
      </c>
      <c r="O322" s="17" t="s">
        <v>15</v>
      </c>
      <c r="P322" s="69">
        <f>+J322*M322</f>
        <v>1472531334</v>
      </c>
      <c r="Q322" s="18" t="s">
        <v>9</v>
      </c>
    </row>
    <row r="323" spans="1:17" ht="18.75" hidden="1" customHeight="1">
      <c r="A323" s="281"/>
      <c r="B323" s="667"/>
      <c r="C323" s="613" t="s">
        <v>227</v>
      </c>
      <c r="D323" s="610">
        <v>0</v>
      </c>
      <c r="E323" s="617">
        <f>P323/1000</f>
        <v>0</v>
      </c>
      <c r="F323" s="350"/>
      <c r="G323" s="569">
        <f>E323-D323</f>
        <v>0</v>
      </c>
      <c r="H323" s="574" t="e">
        <f>G323/D323*100</f>
        <v>#DIV/0!</v>
      </c>
      <c r="I323" s="444"/>
      <c r="J323" s="63"/>
      <c r="K323" s="153"/>
      <c r="L323" s="398"/>
      <c r="M323" s="398"/>
      <c r="N323" s="398"/>
      <c r="O323" s="398"/>
      <c r="P323" s="63">
        <f>SUM(P324:P326)</f>
        <v>0</v>
      </c>
      <c r="Q323" s="59" t="s">
        <v>9</v>
      </c>
    </row>
    <row r="324" spans="1:17" ht="16.5" hidden="1" customHeight="1">
      <c r="A324" s="212"/>
      <c r="B324" s="667"/>
      <c r="C324" s="615"/>
      <c r="D324" s="611"/>
      <c r="E324" s="664"/>
      <c r="F324" s="350"/>
      <c r="G324" s="570"/>
      <c r="H324" s="575"/>
      <c r="I324" s="351" t="s">
        <v>400</v>
      </c>
      <c r="J324" s="72">
        <v>0</v>
      </c>
      <c r="K324" s="22" t="s">
        <v>9</v>
      </c>
      <c r="L324" s="23" t="s">
        <v>16</v>
      </c>
      <c r="M324" s="436">
        <v>1</v>
      </c>
      <c r="N324" s="436" t="s">
        <v>23</v>
      </c>
      <c r="O324" s="24" t="s">
        <v>15</v>
      </c>
      <c r="P324" s="72">
        <f>+J324*M324</f>
        <v>0</v>
      </c>
      <c r="Q324" s="12" t="s">
        <v>9</v>
      </c>
    </row>
    <row r="325" spans="1:17" ht="16.5" hidden="1" customHeight="1">
      <c r="A325" s="212"/>
      <c r="B325" s="667"/>
      <c r="C325" s="615"/>
      <c r="D325" s="611"/>
      <c r="E325" s="664"/>
      <c r="F325" s="352"/>
      <c r="G325" s="570"/>
      <c r="H325" s="575"/>
      <c r="I325" s="353" t="s">
        <v>311</v>
      </c>
      <c r="J325" s="72">
        <v>0</v>
      </c>
      <c r="K325" s="22" t="s">
        <v>9</v>
      </c>
      <c r="L325" s="23" t="s">
        <v>16</v>
      </c>
      <c r="M325" s="436">
        <v>1</v>
      </c>
      <c r="N325" s="436" t="s">
        <v>23</v>
      </c>
      <c r="O325" s="24" t="s">
        <v>15</v>
      </c>
      <c r="P325" s="72">
        <f>+J325*M325</f>
        <v>0</v>
      </c>
      <c r="Q325" s="12" t="s">
        <v>9</v>
      </c>
    </row>
    <row r="326" spans="1:17" ht="16.5" hidden="1" customHeight="1">
      <c r="A326" s="212"/>
      <c r="B326" s="667"/>
      <c r="C326" s="616"/>
      <c r="D326" s="612"/>
      <c r="E326" s="665"/>
      <c r="F326" s="269"/>
      <c r="G326" s="577"/>
      <c r="H326" s="576"/>
      <c r="I326" s="354" t="s">
        <v>227</v>
      </c>
      <c r="J326" s="355">
        <v>0</v>
      </c>
      <c r="K326" s="14" t="s">
        <v>9</v>
      </c>
      <c r="L326" s="15" t="s">
        <v>16</v>
      </c>
      <c r="M326" s="16">
        <v>1</v>
      </c>
      <c r="N326" s="16" t="s">
        <v>23</v>
      </c>
      <c r="O326" s="17" t="s">
        <v>15</v>
      </c>
      <c r="P326" s="69">
        <f>+J326*M326</f>
        <v>0</v>
      </c>
      <c r="Q326" s="18" t="s">
        <v>9</v>
      </c>
    </row>
    <row r="327" spans="1:17" ht="16.5" customHeight="1">
      <c r="A327" s="212"/>
      <c r="B327" s="667"/>
      <c r="C327" s="613" t="s">
        <v>54</v>
      </c>
      <c r="D327" s="617">
        <v>6885</v>
      </c>
      <c r="E327" s="539">
        <f>P327/1000</f>
        <v>6903.6270000000004</v>
      </c>
      <c r="F327" s="356"/>
      <c r="G327" s="569">
        <f>E327-D327</f>
        <v>18.627000000000407</v>
      </c>
      <c r="H327" s="574">
        <f>G327/D327*100</f>
        <v>0.27054466230937407</v>
      </c>
      <c r="I327" s="444"/>
      <c r="J327" s="71"/>
      <c r="K327" s="153"/>
      <c r="L327" s="70"/>
      <c r="M327" s="398" t="s">
        <v>55</v>
      </c>
      <c r="N327" s="398"/>
      <c r="O327" s="398"/>
      <c r="P327" s="63">
        <f>SUM(P328:P328)</f>
        <v>6903627</v>
      </c>
      <c r="Q327" s="59" t="s">
        <v>9</v>
      </c>
    </row>
    <row r="328" spans="1:17" ht="16.5" customHeight="1" thickBot="1">
      <c r="A328" s="357"/>
      <c r="B328" s="668"/>
      <c r="C328" s="614"/>
      <c r="D328" s="618"/>
      <c r="E328" s="663"/>
      <c r="F328" s="358"/>
      <c r="G328" s="661"/>
      <c r="H328" s="578"/>
      <c r="I328" s="675" t="s">
        <v>477</v>
      </c>
      <c r="J328" s="676">
        <v>3451813.5</v>
      </c>
      <c r="K328" s="677" t="s">
        <v>9</v>
      </c>
      <c r="L328" s="174" t="s">
        <v>16</v>
      </c>
      <c r="M328" s="173">
        <v>2</v>
      </c>
      <c r="N328" s="173" t="s">
        <v>23</v>
      </c>
      <c r="O328" s="175" t="s">
        <v>15</v>
      </c>
      <c r="P328" s="678">
        <f>+J328*M328</f>
        <v>6903627</v>
      </c>
      <c r="Q328" s="176" t="s">
        <v>9</v>
      </c>
    </row>
    <row r="329" spans="1:17">
      <c r="A329" s="359"/>
      <c r="B329" s="360"/>
      <c r="C329" s="360"/>
      <c r="D329" s="361"/>
      <c r="E329" s="359"/>
      <c r="G329" s="362"/>
      <c r="H329" s="363"/>
      <c r="I329" s="364"/>
      <c r="J329" s="72"/>
      <c r="K329" s="22"/>
      <c r="L329" s="436"/>
      <c r="M329" s="436"/>
      <c r="N329" s="436"/>
      <c r="O329" s="436"/>
      <c r="P329" s="72"/>
      <c r="Q329" s="22"/>
    </row>
    <row r="330" spans="1:17">
      <c r="A330" s="359"/>
      <c r="B330" s="360"/>
      <c r="C330" s="360"/>
      <c r="D330" s="361"/>
      <c r="E330" s="359"/>
      <c r="G330" s="362"/>
      <c r="H330" s="363"/>
      <c r="I330" s="365"/>
      <c r="J330" s="72"/>
      <c r="K330" s="22"/>
      <c r="L330" s="436"/>
      <c r="M330" s="436"/>
      <c r="N330" s="436"/>
      <c r="O330" s="436"/>
      <c r="P330" s="72"/>
      <c r="Q330" s="22"/>
    </row>
    <row r="331" spans="1:17" ht="9.75" customHeight="1">
      <c r="A331" s="359"/>
      <c r="G331" s="362"/>
      <c r="H331" s="363"/>
      <c r="I331" s="224"/>
    </row>
    <row r="332" spans="1:17" ht="21.75" customHeight="1">
      <c r="G332" s="362"/>
      <c r="H332" s="363"/>
      <c r="I332" s="224"/>
    </row>
    <row r="334" spans="1:17">
      <c r="I334" s="366"/>
    </row>
    <row r="335" spans="1:17">
      <c r="I335" s="366"/>
    </row>
  </sheetData>
  <mergeCells count="390">
    <mergeCell ref="E327:E328"/>
    <mergeCell ref="H327:H328"/>
    <mergeCell ref="H188:H193"/>
    <mergeCell ref="G194:G195"/>
    <mergeCell ref="E323:E326"/>
    <mergeCell ref="G323:G326"/>
    <mergeCell ref="H323:H326"/>
    <mergeCell ref="B319:B328"/>
    <mergeCell ref="E213:E215"/>
    <mergeCell ref="E200:E204"/>
    <mergeCell ref="F217:F218"/>
    <mergeCell ref="F194:F195"/>
    <mergeCell ref="F200:F204"/>
    <mergeCell ref="F213:F215"/>
    <mergeCell ref="F197:F199"/>
    <mergeCell ref="C217:C219"/>
    <mergeCell ref="H217:H219"/>
    <mergeCell ref="F206:F211"/>
    <mergeCell ref="F188:F189"/>
    <mergeCell ref="E319:E322"/>
    <mergeCell ref="C221:C222"/>
    <mergeCell ref="E217:E219"/>
    <mergeCell ref="G99:G100"/>
    <mergeCell ref="H158:H162"/>
    <mergeCell ref="G327:G328"/>
    <mergeCell ref="H319:H322"/>
    <mergeCell ref="G319:G322"/>
    <mergeCell ref="G183:G186"/>
    <mergeCell ref="H206:H212"/>
    <mergeCell ref="H200:H204"/>
    <mergeCell ref="G188:G193"/>
    <mergeCell ref="H104:H106"/>
    <mergeCell ref="H213:H215"/>
    <mergeCell ref="G197:G199"/>
    <mergeCell ref="G206:G212"/>
    <mergeCell ref="G200:G204"/>
    <mergeCell ref="G137:G138"/>
    <mergeCell ref="G101:G102"/>
    <mergeCell ref="H197:H199"/>
    <mergeCell ref="G221:G222"/>
    <mergeCell ref="H221:H222"/>
    <mergeCell ref="G217:G219"/>
    <mergeCell ref="H194:H195"/>
    <mergeCell ref="G213:G215"/>
    <mergeCell ref="F107:F109"/>
    <mergeCell ref="G107:G109"/>
    <mergeCell ref="H110:H113"/>
    <mergeCell ref="F158:F162"/>
    <mergeCell ref="G179:G181"/>
    <mergeCell ref="F139:F140"/>
    <mergeCell ref="F117:F119"/>
    <mergeCell ref="F121:F124"/>
    <mergeCell ref="F179:F181"/>
    <mergeCell ref="G125:G129"/>
    <mergeCell ref="H125:H129"/>
    <mergeCell ref="G132:G136"/>
    <mergeCell ref="H132:H136"/>
    <mergeCell ref="F144:F145"/>
    <mergeCell ref="G117:G119"/>
    <mergeCell ref="F137:F138"/>
    <mergeCell ref="H137:H138"/>
    <mergeCell ref="G130:G131"/>
    <mergeCell ref="H130:H131"/>
    <mergeCell ref="A1:B1"/>
    <mergeCell ref="D194:D195"/>
    <mergeCell ref="A2:B2"/>
    <mergeCell ref="A3:A4"/>
    <mergeCell ref="B6:C6"/>
    <mergeCell ref="C114:C116"/>
    <mergeCell ref="D139:D140"/>
    <mergeCell ref="D40:D42"/>
    <mergeCell ref="C29:C34"/>
    <mergeCell ref="D82:D83"/>
    <mergeCell ref="C99:C100"/>
    <mergeCell ref="C50:C51"/>
    <mergeCell ref="C43:C48"/>
    <mergeCell ref="C93:C98"/>
    <mergeCell ref="C82:C83"/>
    <mergeCell ref="C90:C92"/>
    <mergeCell ref="C23:C28"/>
    <mergeCell ref="C13:C20"/>
    <mergeCell ref="C40:C42"/>
    <mergeCell ref="C110:C113"/>
    <mergeCell ref="D183:D186"/>
    <mergeCell ref="D110:D113"/>
    <mergeCell ref="C36:C39"/>
    <mergeCell ref="C121:C124"/>
    <mergeCell ref="G3:H3"/>
    <mergeCell ref="F3:F4"/>
    <mergeCell ref="M13:O13"/>
    <mergeCell ref="H99:H100"/>
    <mergeCell ref="F149:F155"/>
    <mergeCell ref="H121:H124"/>
    <mergeCell ref="M104:O104"/>
    <mergeCell ref="G104:G106"/>
    <mergeCell ref="H107:H109"/>
    <mergeCell ref="H101:H102"/>
    <mergeCell ref="M101:O101"/>
    <mergeCell ref="H117:H119"/>
    <mergeCell ref="F110:F112"/>
    <mergeCell ref="M107:O107"/>
    <mergeCell ref="G114:G116"/>
    <mergeCell ref="H114:H116"/>
    <mergeCell ref="M110:O110"/>
    <mergeCell ref="G110:G113"/>
    <mergeCell ref="G121:G124"/>
    <mergeCell ref="M130:O130"/>
    <mergeCell ref="F130:F131"/>
    <mergeCell ref="F104:F106"/>
    <mergeCell ref="G82:G83"/>
    <mergeCell ref="G78:G79"/>
    <mergeCell ref="O2:Q2"/>
    <mergeCell ref="M121:O121"/>
    <mergeCell ref="M120:O120"/>
    <mergeCell ref="M149:O149"/>
    <mergeCell ref="M163:O163"/>
    <mergeCell ref="M144:O144"/>
    <mergeCell ref="M158:O158"/>
    <mergeCell ref="M139:O139"/>
    <mergeCell ref="M99:O99"/>
    <mergeCell ref="M90:O90"/>
    <mergeCell ref="M117:O117"/>
    <mergeCell ref="M93:O93"/>
    <mergeCell ref="M103:O103"/>
    <mergeCell ref="M114:O114"/>
    <mergeCell ref="M125:O125"/>
    <mergeCell ref="M132:O132"/>
    <mergeCell ref="M137:O137"/>
    <mergeCell ref="D197:D199"/>
    <mergeCell ref="E149:E157"/>
    <mergeCell ref="C158:C162"/>
    <mergeCell ref="C144:C147"/>
    <mergeCell ref="C139:C140"/>
    <mergeCell ref="I217:J217"/>
    <mergeCell ref="M206:O206"/>
    <mergeCell ref="M221:O221"/>
    <mergeCell ref="M200:O200"/>
    <mergeCell ref="M213:O213"/>
    <mergeCell ref="M217:O217"/>
    <mergeCell ref="M177:O177"/>
    <mergeCell ref="M166:O166"/>
    <mergeCell ref="M188:O188"/>
    <mergeCell ref="M197:O197"/>
    <mergeCell ref="E179:E181"/>
    <mergeCell ref="D166:D169"/>
    <mergeCell ref="D177:D178"/>
    <mergeCell ref="E177:E178"/>
    <mergeCell ref="D163:D164"/>
    <mergeCell ref="E158:E162"/>
    <mergeCell ref="C163:C164"/>
    <mergeCell ref="E139:E140"/>
    <mergeCell ref="C177:C178"/>
    <mergeCell ref="C149:C157"/>
    <mergeCell ref="B182:B183"/>
    <mergeCell ref="B220:C220"/>
    <mergeCell ref="E170:E173"/>
    <mergeCell ref="M194:O194"/>
    <mergeCell ref="G177:G178"/>
    <mergeCell ref="G139:G140"/>
    <mergeCell ref="G149:G157"/>
    <mergeCell ref="H149:H157"/>
    <mergeCell ref="G158:G162"/>
    <mergeCell ref="G163:G164"/>
    <mergeCell ref="H139:H140"/>
    <mergeCell ref="H144:H147"/>
    <mergeCell ref="G144:G147"/>
    <mergeCell ref="H179:H181"/>
    <mergeCell ref="H174:H175"/>
    <mergeCell ref="G141:G143"/>
    <mergeCell ref="H141:H143"/>
    <mergeCell ref="H183:H186"/>
    <mergeCell ref="M179:O179"/>
    <mergeCell ref="G170:G173"/>
    <mergeCell ref="H170:H173"/>
    <mergeCell ref="C206:C212"/>
    <mergeCell ref="C197:C199"/>
    <mergeCell ref="D158:D162"/>
    <mergeCell ref="E78:E79"/>
    <mergeCell ref="D78:D79"/>
    <mergeCell ref="E125:E129"/>
    <mergeCell ref="D132:D136"/>
    <mergeCell ref="E132:E136"/>
    <mergeCell ref="D117:D119"/>
    <mergeCell ref="E93:E98"/>
    <mergeCell ref="C141:C143"/>
    <mergeCell ref="D141:D143"/>
    <mergeCell ref="E141:E143"/>
    <mergeCell ref="E104:E106"/>
    <mergeCell ref="C132:C136"/>
    <mergeCell ref="C137:C138"/>
    <mergeCell ref="E107:E109"/>
    <mergeCell ref="E110:E113"/>
    <mergeCell ref="E114:E116"/>
    <mergeCell ref="E117:E119"/>
    <mergeCell ref="E121:E124"/>
    <mergeCell ref="D125:D129"/>
    <mergeCell ref="E130:E131"/>
    <mergeCell ref="D121:D124"/>
    <mergeCell ref="C107:C109"/>
    <mergeCell ref="D217:D219"/>
    <mergeCell ref="C117:C119"/>
    <mergeCell ref="C130:C131"/>
    <mergeCell ref="C323:C326"/>
    <mergeCell ref="E188:E193"/>
    <mergeCell ref="E206:E212"/>
    <mergeCell ref="E137:E138"/>
    <mergeCell ref="E86:E89"/>
    <mergeCell ref="E166:E169"/>
    <mergeCell ref="D144:D147"/>
    <mergeCell ref="C170:C173"/>
    <mergeCell ref="C179:C181"/>
    <mergeCell ref="D206:D212"/>
    <mergeCell ref="C166:C169"/>
    <mergeCell ref="C174:C175"/>
    <mergeCell ref="D174:D175"/>
    <mergeCell ref="D179:D181"/>
    <mergeCell ref="E163:E164"/>
    <mergeCell ref="E194:E195"/>
    <mergeCell ref="D149:D157"/>
    <mergeCell ref="E197:E199"/>
    <mergeCell ref="C183:C186"/>
    <mergeCell ref="C188:C193"/>
    <mergeCell ref="C67:C73"/>
    <mergeCell ref="D67:D73"/>
    <mergeCell ref="D323:D326"/>
    <mergeCell ref="C327:C328"/>
    <mergeCell ref="C319:C322"/>
    <mergeCell ref="B223:C223"/>
    <mergeCell ref="D319:D322"/>
    <mergeCell ref="B318:C318"/>
    <mergeCell ref="D327:D328"/>
    <mergeCell ref="C194:C195"/>
    <mergeCell ref="D200:D204"/>
    <mergeCell ref="C200:C204"/>
    <mergeCell ref="D213:D215"/>
    <mergeCell ref="C213:C215"/>
    <mergeCell ref="C74:C76"/>
    <mergeCell ref="D130:D131"/>
    <mergeCell ref="D114:D116"/>
    <mergeCell ref="D188:D193"/>
    <mergeCell ref="D137:D138"/>
    <mergeCell ref="D80:D81"/>
    <mergeCell ref="D90:D92"/>
    <mergeCell ref="D101:D102"/>
    <mergeCell ref="D99:D100"/>
    <mergeCell ref="B77:C77"/>
    <mergeCell ref="C3:C4"/>
    <mergeCell ref="D3:D4"/>
    <mergeCell ref="F13:F19"/>
    <mergeCell ref="D21:D22"/>
    <mergeCell ref="C21:C22"/>
    <mergeCell ref="E3:E4"/>
    <mergeCell ref="A5:C5"/>
    <mergeCell ref="C8:C12"/>
    <mergeCell ref="D8:D12"/>
    <mergeCell ref="B3:B4"/>
    <mergeCell ref="C59:C62"/>
    <mergeCell ref="C63:C66"/>
    <mergeCell ref="C125:C129"/>
    <mergeCell ref="E29:E34"/>
    <mergeCell ref="F59:F62"/>
    <mergeCell ref="C78:C79"/>
    <mergeCell ref="C52:C58"/>
    <mergeCell ref="C86:C89"/>
    <mergeCell ref="D86:D89"/>
    <mergeCell ref="E99:E100"/>
    <mergeCell ref="E82:E83"/>
    <mergeCell ref="C101:C102"/>
    <mergeCell ref="E90:E92"/>
    <mergeCell ref="E101:E102"/>
    <mergeCell ref="B84:C84"/>
    <mergeCell ref="C80:C81"/>
    <mergeCell ref="D93:D98"/>
    <mergeCell ref="C104:C106"/>
    <mergeCell ref="E80:E81"/>
    <mergeCell ref="D29:D34"/>
    <mergeCell ref="E52:E58"/>
    <mergeCell ref="D104:D106"/>
    <mergeCell ref="D107:D109"/>
    <mergeCell ref="D63:D66"/>
    <mergeCell ref="I3:Q4"/>
    <mergeCell ref="D13:D20"/>
    <mergeCell ref="G13:G20"/>
    <mergeCell ref="E8:E12"/>
    <mergeCell ref="G8:G12"/>
    <mergeCell ref="E13:E20"/>
    <mergeCell ref="E23:E28"/>
    <mergeCell ref="E21:E22"/>
    <mergeCell ref="F23:F28"/>
    <mergeCell ref="M24:N24"/>
    <mergeCell ref="M25:N25"/>
    <mergeCell ref="M21:O21"/>
    <mergeCell ref="H21:H22"/>
    <mergeCell ref="M26:N26"/>
    <mergeCell ref="F21:F22"/>
    <mergeCell ref="G21:G22"/>
    <mergeCell ref="H23:H28"/>
    <mergeCell ref="H13:H20"/>
    <mergeCell ref="H8:H12"/>
    <mergeCell ref="M27:N27"/>
    <mergeCell ref="M23:O23"/>
    <mergeCell ref="G23:G28"/>
    <mergeCell ref="D23:D28"/>
    <mergeCell ref="M28:N28"/>
    <mergeCell ref="H29:H34"/>
    <mergeCell ref="F50:F51"/>
    <mergeCell ref="G50:G51"/>
    <mergeCell ref="G43:G48"/>
    <mergeCell ref="F43:F48"/>
    <mergeCell ref="F52:F58"/>
    <mergeCell ref="H52:H58"/>
    <mergeCell ref="G52:G58"/>
    <mergeCell ref="H43:H48"/>
    <mergeCell ref="G29:G34"/>
    <mergeCell ref="F29:F33"/>
    <mergeCell ref="F36:F38"/>
    <mergeCell ref="H40:H42"/>
    <mergeCell ref="G40:G42"/>
    <mergeCell ref="H50:H51"/>
    <mergeCell ref="G36:G39"/>
    <mergeCell ref="H36:H39"/>
    <mergeCell ref="D52:D58"/>
    <mergeCell ref="E59:E62"/>
    <mergeCell ref="D59:D62"/>
    <mergeCell ref="G59:G62"/>
    <mergeCell ref="H74:H76"/>
    <mergeCell ref="G67:G73"/>
    <mergeCell ref="D36:D39"/>
    <mergeCell ref="E36:E39"/>
    <mergeCell ref="M67:O67"/>
    <mergeCell ref="M63:O63"/>
    <mergeCell ref="M74:O74"/>
    <mergeCell ref="F63:F66"/>
    <mergeCell ref="F74:F76"/>
    <mergeCell ref="G63:G66"/>
    <mergeCell ref="E67:E73"/>
    <mergeCell ref="E40:E42"/>
    <mergeCell ref="E43:E48"/>
    <mergeCell ref="D50:D51"/>
    <mergeCell ref="D43:D48"/>
    <mergeCell ref="E50:E51"/>
    <mergeCell ref="M59:O59"/>
    <mergeCell ref="E63:E66"/>
    <mergeCell ref="D74:D76"/>
    <mergeCell ref="E74:E76"/>
    <mergeCell ref="F90:F92"/>
    <mergeCell ref="F80:F81"/>
    <mergeCell ref="M85:O85"/>
    <mergeCell ref="M86:O86"/>
    <mergeCell ref="G93:G98"/>
    <mergeCell ref="G90:G92"/>
    <mergeCell ref="H93:H98"/>
    <mergeCell ref="H90:H92"/>
    <mergeCell ref="M36:O36"/>
    <mergeCell ref="M40:O40"/>
    <mergeCell ref="M43:O43"/>
    <mergeCell ref="M52:O52"/>
    <mergeCell ref="G80:G81"/>
    <mergeCell ref="H78:H79"/>
    <mergeCell ref="H80:H81"/>
    <mergeCell ref="F78:F79"/>
    <mergeCell ref="H67:H73"/>
    <mergeCell ref="F82:F83"/>
    <mergeCell ref="G74:G76"/>
    <mergeCell ref="H63:H66"/>
    <mergeCell ref="H59:H62"/>
    <mergeCell ref="H82:H83"/>
    <mergeCell ref="D221:D222"/>
    <mergeCell ref="E221:E222"/>
    <mergeCell ref="M183:O183"/>
    <mergeCell ref="E183:E186"/>
    <mergeCell ref="E144:E147"/>
    <mergeCell ref="F174:F175"/>
    <mergeCell ref="E174:E175"/>
    <mergeCell ref="F177:F178"/>
    <mergeCell ref="H163:H164"/>
    <mergeCell ref="M174:O174"/>
    <mergeCell ref="H177:H178"/>
    <mergeCell ref="H166:H169"/>
    <mergeCell ref="G174:G175"/>
    <mergeCell ref="F183:F186"/>
    <mergeCell ref="F166:F169"/>
    <mergeCell ref="G166:G169"/>
    <mergeCell ref="M141:O141"/>
    <mergeCell ref="M170:O170"/>
    <mergeCell ref="D170:D173"/>
    <mergeCell ref="F93:F98"/>
    <mergeCell ref="H86:H89"/>
    <mergeCell ref="G86:G89"/>
    <mergeCell ref="F86:F89"/>
  </mergeCells>
  <phoneticPr fontId="6" type="noConversion"/>
  <pageMargins left="0.31496062992125984" right="0.19685039370078741" top="0.47244094488188981" bottom="0.19685039370078741" header="0.39370078740157483" footer="0.19685039370078741"/>
  <pageSetup paperSize="9" scale="92" firstPageNumber="5" fitToWidth="14" fitToHeight="14" orientation="landscape" useFirstPageNumber="1" r:id="rId1"/>
  <headerFooter>
    <oddFooter>&amp;C&amp;"맑은 고딕,Regular"&amp;P</oddFooter>
  </headerFooter>
  <rowBreaks count="11" manualBreakCount="11">
    <brk id="34" max="16" man="1"/>
    <brk id="66" max="16" man="1"/>
    <brk id="92" max="16" man="1"/>
    <brk id="119" max="16" man="1"/>
    <brk id="147" max="16" man="1"/>
    <brk id="175" max="16" man="1"/>
    <brk id="204" max="16" man="1"/>
    <brk id="233" max="16" man="1"/>
    <brk id="261" max="16" man="1"/>
    <brk id="289" max="16" man="1"/>
    <brk id="317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예산총칙</vt:lpstr>
      <vt:lpstr>세입명세서</vt:lpstr>
      <vt:lpstr>세출명세서</vt:lpstr>
      <vt:lpstr>세입명세서!Print_Area</vt:lpstr>
      <vt:lpstr>세출명세서!Print_Area</vt:lpstr>
      <vt:lpstr>예산총칙!Print_Area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14</cp:revision>
  <cp:lastPrinted>2021-05-17T07:48:11Z</cp:lastPrinted>
  <dcterms:created xsi:type="dcterms:W3CDTF">2009-12-07T05:26:05Z</dcterms:created>
  <dcterms:modified xsi:type="dcterms:W3CDTF">2021-05-25T01:37:24Z</dcterms:modified>
  <cp:version>1100.0100.01</cp:version>
</cp:coreProperties>
</file>