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법인행정\2022년\공문\첨부문서\"/>
    </mc:Choice>
  </mc:AlternateContent>
  <xr:revisionPtr revIDLastSave="0" documentId="13_ncr:1_{5075B570-2431-478F-A1C5-9F06D2A11522}" xr6:coauthVersionLast="36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예산총칙" sheetId="2" r:id="rId1"/>
    <sheet name="세입명세서" sheetId="6" r:id="rId2"/>
    <sheet name="세출명세서" sheetId="7" r:id="rId3"/>
  </sheets>
  <definedNames>
    <definedName name="_xlnm.Print_Area" localSheetId="1">세입명세서!$A$1:$Z$93</definedName>
    <definedName name="_xlnm.Print_Area" localSheetId="2">세출명세서!$A$1:$Q$320</definedName>
    <definedName name="_xlnm.Print_Area" localSheetId="0">예산총칙!$A$1:$P$24</definedName>
    <definedName name="_xlnm.Print_Titles" localSheetId="1">세입명세서!$4:$5</definedName>
    <definedName name="_xlnm.Print_Titles" localSheetId="2">세출명세서!$3:$4</definedName>
  </definedNames>
  <calcPr calcId="191029"/>
</workbook>
</file>

<file path=xl/calcChain.xml><?xml version="1.0" encoding="utf-8"?>
<calcChain xmlns="http://schemas.openxmlformats.org/spreadsheetml/2006/main">
  <c r="D310" i="7" l="1"/>
  <c r="P314" i="7"/>
  <c r="P313" i="7"/>
  <c r="P312" i="7"/>
  <c r="P311" i="7" l="1"/>
  <c r="G311" i="7" s="1"/>
  <c r="H311" i="7" s="1"/>
  <c r="P45" i="7"/>
  <c r="P80" i="6" l="1"/>
  <c r="P38" i="7" l="1"/>
  <c r="P18" i="6"/>
  <c r="P17" i="6" s="1"/>
  <c r="E17" i="6" s="1"/>
  <c r="G17" i="6" s="1"/>
  <c r="P304" i="7" l="1"/>
  <c r="E304" i="7" s="1"/>
  <c r="G304" i="7" s="1"/>
  <c r="D116" i="7" l="1"/>
  <c r="P139" i="7" l="1"/>
  <c r="P138" i="7" s="1"/>
  <c r="E138" i="7" s="1"/>
  <c r="G138" i="7" l="1"/>
  <c r="P279" i="7"/>
  <c r="E279" i="7" s="1"/>
  <c r="P20" i="7"/>
  <c r="G279" i="7" l="1"/>
  <c r="P87" i="7"/>
  <c r="P309" i="7"/>
  <c r="P66" i="7" l="1"/>
  <c r="P47" i="6"/>
  <c r="P79" i="6" l="1"/>
  <c r="P78" i="6"/>
  <c r="P77" i="6"/>
  <c r="P76" i="6" s="1"/>
  <c r="P75" i="6"/>
  <c r="G75" i="6"/>
  <c r="P74" i="6"/>
  <c r="P72" i="6"/>
  <c r="P71" i="6"/>
  <c r="P69" i="6"/>
  <c r="P67" i="6" s="1"/>
  <c r="G69" i="6"/>
  <c r="G68" i="6"/>
  <c r="F66" i="6"/>
  <c r="F65" i="6" s="1"/>
  <c r="D66" i="6"/>
  <c r="D65" i="6" s="1"/>
  <c r="P64" i="6"/>
  <c r="P63" i="6"/>
  <c r="H63" i="6"/>
  <c r="P62" i="6"/>
  <c r="P61" i="6"/>
  <c r="P60" i="6"/>
  <c r="P59" i="6"/>
  <c r="P58" i="6"/>
  <c r="H58" i="6"/>
  <c r="P57" i="6"/>
  <c r="G57" i="6"/>
  <c r="H57" i="6" s="1"/>
  <c r="P55" i="6"/>
  <c r="F53" i="6"/>
  <c r="D53" i="6"/>
  <c r="P211" i="7"/>
  <c r="P210" i="7"/>
  <c r="P209" i="7"/>
  <c r="P208" i="7"/>
  <c r="P207" i="7"/>
  <c r="P206" i="7"/>
  <c r="F204" i="7"/>
  <c r="D204" i="7"/>
  <c r="P203" i="7"/>
  <c r="P202" i="7"/>
  <c r="P201" i="7"/>
  <c r="P200" i="7"/>
  <c r="P198" i="7"/>
  <c r="P197" i="7"/>
  <c r="F195" i="7"/>
  <c r="D195" i="7"/>
  <c r="P194" i="7"/>
  <c r="P193" i="7" s="1"/>
  <c r="E193" i="7" s="1"/>
  <c r="G193" i="7" s="1"/>
  <c r="H193" i="7" s="1"/>
  <c r="P192" i="7"/>
  <c r="P191" i="7"/>
  <c r="P190" i="7"/>
  <c r="P189" i="7"/>
  <c r="P188" i="7"/>
  <c r="P196" i="7" l="1"/>
  <c r="E196" i="7" s="1"/>
  <c r="G196" i="7" s="1"/>
  <c r="H196" i="7" s="1"/>
  <c r="E76" i="6"/>
  <c r="G76" i="6" s="1"/>
  <c r="H76" i="6" s="1"/>
  <c r="P73" i="6"/>
  <c r="E73" i="6" s="1"/>
  <c r="G73" i="6" s="1"/>
  <c r="H73" i="6" s="1"/>
  <c r="P54" i="6"/>
  <c r="E54" i="6" s="1"/>
  <c r="G54" i="6" s="1"/>
  <c r="H54" i="6" s="1"/>
  <c r="P205" i="7"/>
  <c r="E205" i="7" s="1"/>
  <c r="P56" i="6"/>
  <c r="P70" i="6"/>
  <c r="E70" i="6" s="1"/>
  <c r="G70" i="6" s="1"/>
  <c r="H70" i="6" s="1"/>
  <c r="P187" i="7"/>
  <c r="E187" i="7" s="1"/>
  <c r="G187" i="7" s="1"/>
  <c r="H187" i="7" s="1"/>
  <c r="E67" i="6"/>
  <c r="G67" i="6" s="1"/>
  <c r="H67" i="6" s="1"/>
  <c r="P199" i="7"/>
  <c r="E199" i="7" s="1"/>
  <c r="G199" i="7" s="1"/>
  <c r="H199" i="7" s="1"/>
  <c r="P66" i="6" l="1"/>
  <c r="P65" i="6" s="1"/>
  <c r="P195" i="7"/>
  <c r="P53" i="6"/>
  <c r="E56" i="6"/>
  <c r="G205" i="7"/>
  <c r="H205" i="7" s="1"/>
  <c r="E195" i="7"/>
  <c r="G195" i="7" s="1"/>
  <c r="H195" i="7" s="1"/>
  <c r="E66" i="6" l="1"/>
  <c r="E65" i="6" s="1"/>
  <c r="G65" i="6" s="1"/>
  <c r="H65" i="6" s="1"/>
  <c r="G56" i="6"/>
  <c r="H56" i="6" s="1"/>
  <c r="E53" i="6"/>
  <c r="G53" i="6" s="1"/>
  <c r="H53" i="6" s="1"/>
  <c r="G66" i="6" l="1"/>
  <c r="H66" i="6" s="1"/>
  <c r="P127" i="7"/>
  <c r="P123" i="7"/>
  <c r="P135" i="7" l="1"/>
  <c r="P129" i="7" l="1"/>
  <c r="P101" i="7"/>
  <c r="D158" i="7"/>
  <c r="D143" i="7"/>
  <c r="P149" i="7"/>
  <c r="P150" i="7"/>
  <c r="P147" i="7"/>
  <c r="P146" i="7" s="1"/>
  <c r="E146" i="7" s="1"/>
  <c r="G146" i="7" s="1"/>
  <c r="H146" i="7" s="1"/>
  <c r="P145" i="7"/>
  <c r="P144" i="7" s="1"/>
  <c r="E144" i="7" s="1"/>
  <c r="G144" i="7" s="1"/>
  <c r="P148" i="7" l="1"/>
  <c r="E148" i="7" s="1"/>
  <c r="G148" i="7" l="1"/>
  <c r="H148" i="7" s="1"/>
  <c r="P40" i="7" l="1"/>
  <c r="P31" i="7"/>
  <c r="P320" i="7" l="1"/>
  <c r="P318" i="7"/>
  <c r="P317" i="7"/>
  <c r="P316" i="7"/>
  <c r="F310" i="7"/>
  <c r="P305" i="7"/>
  <c r="E305" i="7" s="1"/>
  <c r="P303" i="7"/>
  <c r="E303" i="7" s="1"/>
  <c r="P302" i="7"/>
  <c r="E302" i="7" s="1"/>
  <c r="P257" i="7"/>
  <c r="E257" i="7" s="1"/>
  <c r="P301" i="7"/>
  <c r="E301" i="7" s="1"/>
  <c r="P300" i="7"/>
  <c r="E300" i="7" s="1"/>
  <c r="P299" i="7"/>
  <c r="E299" i="7" s="1"/>
  <c r="P298" i="7"/>
  <c r="E298" i="7" s="1"/>
  <c r="P297" i="7"/>
  <c r="E297" i="7" s="1"/>
  <c r="P296" i="7"/>
  <c r="E296" i="7" s="1"/>
  <c r="P295" i="7"/>
  <c r="E295" i="7" s="1"/>
  <c r="G295" i="7" s="1"/>
  <c r="H295" i="7" s="1"/>
  <c r="P294" i="7"/>
  <c r="E294" i="7" s="1"/>
  <c r="P293" i="7"/>
  <c r="E293" i="7" s="1"/>
  <c r="G293" i="7" s="1"/>
  <c r="H293" i="7" s="1"/>
  <c r="P292" i="7"/>
  <c r="E292" i="7" s="1"/>
  <c r="P291" i="7"/>
  <c r="E291" i="7" s="1"/>
  <c r="P290" i="7"/>
  <c r="E290" i="7" s="1"/>
  <c r="G290" i="7" s="1"/>
  <c r="H290" i="7" s="1"/>
  <c r="P289" i="7"/>
  <c r="E289" i="7" s="1"/>
  <c r="P288" i="7"/>
  <c r="E288" i="7" s="1"/>
  <c r="P287" i="7"/>
  <c r="E287" i="7" s="1"/>
  <c r="P286" i="7"/>
  <c r="E286" i="7" s="1"/>
  <c r="P285" i="7"/>
  <c r="E285" i="7" s="1"/>
  <c r="P284" i="7"/>
  <c r="E284" i="7" s="1"/>
  <c r="P283" i="7"/>
  <c r="E283" i="7" s="1"/>
  <c r="G283" i="7" s="1"/>
  <c r="H283" i="7" s="1"/>
  <c r="P282" i="7"/>
  <c r="E282" i="7" s="1"/>
  <c r="P281" i="7"/>
  <c r="E281" i="7" s="1"/>
  <c r="P280" i="7"/>
  <c r="E280" i="7" s="1"/>
  <c r="G280" i="7" s="1"/>
  <c r="H280" i="7" s="1"/>
  <c r="P278" i="7"/>
  <c r="E278" i="7" s="1"/>
  <c r="P277" i="7"/>
  <c r="E277" i="7" s="1"/>
  <c r="P276" i="7"/>
  <c r="E276" i="7" s="1"/>
  <c r="P275" i="7"/>
  <c r="P274" i="7"/>
  <c r="E274" i="7" s="1"/>
  <c r="P273" i="7"/>
  <c r="E273" i="7" s="1"/>
  <c r="G273" i="7" s="1"/>
  <c r="H273" i="7" s="1"/>
  <c r="P272" i="7"/>
  <c r="E272" i="7" s="1"/>
  <c r="G272" i="7" s="1"/>
  <c r="H272" i="7" s="1"/>
  <c r="P271" i="7"/>
  <c r="E271" i="7" s="1"/>
  <c r="G271" i="7" s="1"/>
  <c r="H271" i="7" s="1"/>
  <c r="P270" i="7"/>
  <c r="E270" i="7" s="1"/>
  <c r="P269" i="7"/>
  <c r="E269" i="7" s="1"/>
  <c r="P268" i="7"/>
  <c r="E268" i="7" s="1"/>
  <c r="G268" i="7" s="1"/>
  <c r="H268" i="7" s="1"/>
  <c r="P267" i="7"/>
  <c r="E267" i="7" s="1"/>
  <c r="G267" i="7" s="1"/>
  <c r="H267" i="7" s="1"/>
  <c r="P266" i="7"/>
  <c r="E266" i="7" s="1"/>
  <c r="P265" i="7"/>
  <c r="E265" i="7" s="1"/>
  <c r="P264" i="7"/>
  <c r="E264" i="7" s="1"/>
  <c r="G264" i="7" s="1"/>
  <c r="H264" i="7" s="1"/>
  <c r="P263" i="7"/>
  <c r="E263" i="7" s="1"/>
  <c r="G263" i="7" s="1"/>
  <c r="H263" i="7" s="1"/>
  <c r="P262" i="7"/>
  <c r="E262" i="7" s="1"/>
  <c r="P261" i="7"/>
  <c r="E261" i="7" s="1"/>
  <c r="P260" i="7"/>
  <c r="E260" i="7" s="1"/>
  <c r="P259" i="7"/>
  <c r="E259" i="7" s="1"/>
  <c r="G259" i="7" s="1"/>
  <c r="H259" i="7" s="1"/>
  <c r="P258" i="7"/>
  <c r="E258" i="7" s="1"/>
  <c r="P256" i="7"/>
  <c r="E256" i="7" s="1"/>
  <c r="P255" i="7"/>
  <c r="E255" i="7" s="1"/>
  <c r="G255" i="7" s="1"/>
  <c r="H255" i="7" s="1"/>
  <c r="P254" i="7"/>
  <c r="E254" i="7" s="1"/>
  <c r="P253" i="7"/>
  <c r="E253" i="7" s="1"/>
  <c r="G253" i="7" s="1"/>
  <c r="H253" i="7" s="1"/>
  <c r="P252" i="7"/>
  <c r="E252" i="7" s="1"/>
  <c r="P251" i="7"/>
  <c r="E251" i="7" s="1"/>
  <c r="P250" i="7"/>
  <c r="E250" i="7" s="1"/>
  <c r="P249" i="7"/>
  <c r="E249" i="7" s="1"/>
  <c r="G249" i="7" s="1"/>
  <c r="H249" i="7" s="1"/>
  <c r="P248" i="7"/>
  <c r="E248" i="7" s="1"/>
  <c r="P247" i="7"/>
  <c r="E247" i="7" s="1"/>
  <c r="G247" i="7" s="1"/>
  <c r="H247" i="7" s="1"/>
  <c r="P246" i="7"/>
  <c r="E246" i="7" s="1"/>
  <c r="G246" i="7" s="1"/>
  <c r="H246" i="7" s="1"/>
  <c r="P245" i="7"/>
  <c r="E245" i="7" s="1"/>
  <c r="G245" i="7" s="1"/>
  <c r="H245" i="7" s="1"/>
  <c r="P244" i="7"/>
  <c r="E244" i="7" s="1"/>
  <c r="P243" i="7"/>
  <c r="E243" i="7" s="1"/>
  <c r="G243" i="7" s="1"/>
  <c r="H243" i="7" s="1"/>
  <c r="P242" i="7"/>
  <c r="E242" i="7" s="1"/>
  <c r="G242" i="7" s="1"/>
  <c r="H242" i="7" s="1"/>
  <c r="P241" i="7"/>
  <c r="E241" i="7" s="1"/>
  <c r="P240" i="7"/>
  <c r="E240" i="7" s="1"/>
  <c r="P239" i="7"/>
  <c r="E239" i="7" s="1"/>
  <c r="P238" i="7"/>
  <c r="E238" i="7" s="1"/>
  <c r="G238" i="7" s="1"/>
  <c r="H238" i="7" s="1"/>
  <c r="P237" i="7"/>
  <c r="E237" i="7" s="1"/>
  <c r="P236" i="7"/>
  <c r="E236" i="7" s="1"/>
  <c r="P235" i="7"/>
  <c r="E235" i="7" s="1"/>
  <c r="P234" i="7"/>
  <c r="E234" i="7" s="1"/>
  <c r="G234" i="7" s="1"/>
  <c r="H234" i="7" s="1"/>
  <c r="F234" i="7"/>
  <c r="F215" i="7" s="1"/>
  <c r="P233" i="7"/>
  <c r="E233" i="7" s="1"/>
  <c r="G233" i="7" s="1"/>
  <c r="H233" i="7" s="1"/>
  <c r="P232" i="7"/>
  <c r="E232" i="7" s="1"/>
  <c r="G232" i="7" s="1"/>
  <c r="H232" i="7" s="1"/>
  <c r="P231" i="7"/>
  <c r="E231" i="7" s="1"/>
  <c r="P230" i="7"/>
  <c r="E230" i="7" s="1"/>
  <c r="P229" i="7"/>
  <c r="E229" i="7" s="1"/>
  <c r="G229" i="7" s="1"/>
  <c r="H229" i="7" s="1"/>
  <c r="P228" i="7"/>
  <c r="E228" i="7" s="1"/>
  <c r="P227" i="7"/>
  <c r="E227" i="7" s="1"/>
  <c r="P226" i="7"/>
  <c r="E226" i="7" s="1"/>
  <c r="G226" i="7" s="1"/>
  <c r="H226" i="7" s="1"/>
  <c r="P225" i="7"/>
  <c r="E225" i="7" s="1"/>
  <c r="P224" i="7"/>
  <c r="E224" i="7" s="1"/>
  <c r="G224" i="7" s="1"/>
  <c r="H224" i="7" s="1"/>
  <c r="P223" i="7"/>
  <c r="E223" i="7" s="1"/>
  <c r="E222" i="7"/>
  <c r="G222" i="7" s="1"/>
  <c r="H222" i="7" s="1"/>
  <c r="P221" i="7"/>
  <c r="E221" i="7" s="1"/>
  <c r="G221" i="7" s="1"/>
  <c r="H221" i="7" s="1"/>
  <c r="P220" i="7"/>
  <c r="E220" i="7" s="1"/>
  <c r="P219" i="7"/>
  <c r="E219" i="7" s="1"/>
  <c r="G219" i="7" s="1"/>
  <c r="H219" i="7" s="1"/>
  <c r="P218" i="7"/>
  <c r="E218" i="7" s="1"/>
  <c r="P217" i="7"/>
  <c r="E217" i="7" s="1"/>
  <c r="G217" i="7" s="1"/>
  <c r="H217" i="7" s="1"/>
  <c r="P216" i="7"/>
  <c r="D215" i="7"/>
  <c r="P308" i="7"/>
  <c r="P307" i="7" s="1"/>
  <c r="D306" i="7"/>
  <c r="P214" i="7"/>
  <c r="P213" i="7"/>
  <c r="F186" i="7"/>
  <c r="D186" i="7"/>
  <c r="P185" i="7"/>
  <c r="P184" i="7"/>
  <c r="P183" i="7"/>
  <c r="D181" i="7"/>
  <c r="P180" i="7"/>
  <c r="G180" i="7"/>
  <c r="H180" i="7" s="1"/>
  <c r="P179" i="7"/>
  <c r="G179" i="7"/>
  <c r="H179" i="7" s="1"/>
  <c r="P177" i="7"/>
  <c r="P176" i="7" s="1"/>
  <c r="F175" i="7"/>
  <c r="D175" i="7"/>
  <c r="P174" i="7"/>
  <c r="P173" i="7" s="1"/>
  <c r="E173" i="7" s="1"/>
  <c r="G173" i="7" s="1"/>
  <c r="P172" i="7"/>
  <c r="P171" i="7"/>
  <c r="P170" i="7"/>
  <c r="H170" i="7"/>
  <c r="P168" i="7"/>
  <c r="P167" i="7"/>
  <c r="G166" i="7"/>
  <c r="H166" i="7" s="1"/>
  <c r="F164" i="7"/>
  <c r="D164" i="7"/>
  <c r="P163" i="7"/>
  <c r="P162" i="7" s="1"/>
  <c r="E162" i="7" s="1"/>
  <c r="P161" i="7"/>
  <c r="P160" i="7"/>
  <c r="P157" i="7"/>
  <c r="P156" i="7"/>
  <c r="P155" i="7"/>
  <c r="P154" i="7"/>
  <c r="P153" i="7"/>
  <c r="F143" i="7"/>
  <c r="P142" i="7"/>
  <c r="P141" i="7"/>
  <c r="P134" i="7"/>
  <c r="P133" i="7"/>
  <c r="P131" i="7"/>
  <c r="P130" i="7" s="1"/>
  <c r="E130" i="7" s="1"/>
  <c r="P128" i="7"/>
  <c r="P126" i="7"/>
  <c r="P125" i="7"/>
  <c r="P124" i="7"/>
  <c r="P121" i="7"/>
  <c r="P120" i="7" s="1"/>
  <c r="E120" i="7" s="1"/>
  <c r="G120" i="7" s="1"/>
  <c r="H120" i="7" s="1"/>
  <c r="P119" i="7"/>
  <c r="P118" i="7"/>
  <c r="P115" i="7"/>
  <c r="G115" i="7"/>
  <c r="H115" i="7" s="1"/>
  <c r="P114" i="7"/>
  <c r="G114" i="7"/>
  <c r="H114" i="7" s="1"/>
  <c r="P112" i="7"/>
  <c r="P111" i="7"/>
  <c r="P109" i="7"/>
  <c r="P107" i="7"/>
  <c r="P105" i="7"/>
  <c r="P104" i="7"/>
  <c r="G104" i="7"/>
  <c r="H104" i="7" s="1"/>
  <c r="P100" i="7"/>
  <c r="E100" i="7" s="1"/>
  <c r="G100" i="7" s="1"/>
  <c r="H100" i="7" s="1"/>
  <c r="F99" i="7"/>
  <c r="D99" i="7"/>
  <c r="P98" i="7"/>
  <c r="P97" i="7" s="1"/>
  <c r="E97" i="7" s="1"/>
  <c r="G97" i="7" s="1"/>
  <c r="H97" i="7" s="1"/>
  <c r="P96" i="7"/>
  <c r="G96" i="7"/>
  <c r="H96" i="7" s="1"/>
  <c r="P95" i="7"/>
  <c r="P94" i="7"/>
  <c r="P93" i="7"/>
  <c r="G93" i="7"/>
  <c r="H93" i="7" s="1"/>
  <c r="P91" i="7"/>
  <c r="P90" i="7"/>
  <c r="P88" i="7"/>
  <c r="G88" i="7"/>
  <c r="H88" i="7" s="1"/>
  <c r="P86" i="7"/>
  <c r="F84" i="7"/>
  <c r="D84" i="7"/>
  <c r="P82" i="7"/>
  <c r="P81" i="7" s="1"/>
  <c r="E81" i="7" s="1"/>
  <c r="G81" i="7" s="1"/>
  <c r="H81" i="7" s="1"/>
  <c r="P80" i="7"/>
  <c r="P78" i="7"/>
  <c r="P77" i="7" s="1"/>
  <c r="F76" i="7"/>
  <c r="D76" i="7"/>
  <c r="P75" i="7"/>
  <c r="G75" i="7"/>
  <c r="H75" i="7" s="1"/>
  <c r="P74" i="7"/>
  <c r="G74" i="7"/>
  <c r="H74" i="7" s="1"/>
  <c r="P72" i="7"/>
  <c r="P71" i="7"/>
  <c r="P70" i="7"/>
  <c r="P68" i="7"/>
  <c r="P67" i="7"/>
  <c r="P65" i="7"/>
  <c r="P63" i="7"/>
  <c r="G63" i="7"/>
  <c r="H63" i="7" s="1"/>
  <c r="P62" i="7"/>
  <c r="G62" i="7"/>
  <c r="H62" i="7" s="1"/>
  <c r="P61" i="7"/>
  <c r="G61" i="7"/>
  <c r="H61" i="7" s="1"/>
  <c r="P59" i="7"/>
  <c r="G59" i="7"/>
  <c r="H59" i="7" s="1"/>
  <c r="P58" i="7"/>
  <c r="P57" i="7"/>
  <c r="G57" i="7"/>
  <c r="H57" i="7" s="1"/>
  <c r="P56" i="7"/>
  <c r="P55" i="7"/>
  <c r="G55" i="7"/>
  <c r="H55" i="7" s="1"/>
  <c r="P54" i="7"/>
  <c r="P52" i="7"/>
  <c r="P51" i="7" s="1"/>
  <c r="G52" i="7"/>
  <c r="H52" i="7" s="1"/>
  <c r="F50" i="7"/>
  <c r="D50" i="7"/>
  <c r="P49" i="7"/>
  <c r="G49" i="7"/>
  <c r="H49" i="7" s="1"/>
  <c r="P48" i="7"/>
  <c r="P47" i="7"/>
  <c r="G47" i="7"/>
  <c r="H47" i="7" s="1"/>
  <c r="P46" i="7"/>
  <c r="G45" i="7"/>
  <c r="H45" i="7" s="1"/>
  <c r="P43" i="7"/>
  <c r="P42" i="7"/>
  <c r="P39" i="7"/>
  <c r="P37" i="7" s="1"/>
  <c r="F36" i="7"/>
  <c r="D36" i="7"/>
  <c r="P35" i="7"/>
  <c r="P34" i="7"/>
  <c r="P33" i="7"/>
  <c r="P32" i="7"/>
  <c r="G29" i="7"/>
  <c r="H29" i="7" s="1"/>
  <c r="G28" i="7"/>
  <c r="H28" i="7" s="1"/>
  <c r="G27" i="7"/>
  <c r="H27" i="7" s="1"/>
  <c r="G26" i="7"/>
  <c r="H26" i="7" s="1"/>
  <c r="G25" i="7"/>
  <c r="H25" i="7" s="1"/>
  <c r="G23" i="7"/>
  <c r="H23" i="7" s="1"/>
  <c r="P21" i="7"/>
  <c r="P19" i="7"/>
  <c r="P18" i="7"/>
  <c r="P17" i="7"/>
  <c r="P16" i="7"/>
  <c r="P15" i="7"/>
  <c r="P14" i="7"/>
  <c r="P12" i="7"/>
  <c r="P11" i="7"/>
  <c r="P10" i="7"/>
  <c r="P9" i="7"/>
  <c r="F7" i="7"/>
  <c r="D7" i="7"/>
  <c r="F5" i="7"/>
  <c r="P93" i="6"/>
  <c r="G93" i="6"/>
  <c r="H93" i="6" s="1"/>
  <c r="P92" i="6"/>
  <c r="P91" i="6"/>
  <c r="H91" i="6"/>
  <c r="P89" i="6"/>
  <c r="E89" i="6" s="1"/>
  <c r="G89" i="6" s="1"/>
  <c r="H89" i="6" s="1"/>
  <c r="P88" i="6"/>
  <c r="E88" i="6" s="1"/>
  <c r="D87" i="6"/>
  <c r="D86" i="6" s="1"/>
  <c r="F86" i="6"/>
  <c r="P85" i="6"/>
  <c r="E85" i="6" s="1"/>
  <c r="G85" i="6" s="1"/>
  <c r="H85" i="6" s="1"/>
  <c r="P84" i="6"/>
  <c r="E84" i="6" s="1"/>
  <c r="G84" i="6" s="1"/>
  <c r="H84" i="6" s="1"/>
  <c r="P83" i="6"/>
  <c r="E83" i="6" s="1"/>
  <c r="G83" i="6" s="1"/>
  <c r="H83" i="6" s="1"/>
  <c r="F82" i="6"/>
  <c r="F81" i="6" s="1"/>
  <c r="D82" i="6"/>
  <c r="D81" i="6" s="1"/>
  <c r="P52" i="6"/>
  <c r="P51" i="6"/>
  <c r="P49" i="6"/>
  <c r="P46" i="6"/>
  <c r="P45" i="6"/>
  <c r="P43" i="6"/>
  <c r="P42" i="6"/>
  <c r="P41" i="6"/>
  <c r="P40" i="6"/>
  <c r="P38" i="6"/>
  <c r="P37" i="6" s="1"/>
  <c r="F36" i="6"/>
  <c r="D36" i="6"/>
  <c r="P34" i="6"/>
  <c r="P33" i="6" s="1"/>
  <c r="F32" i="6"/>
  <c r="F31" i="6" s="1"/>
  <c r="D32" i="6"/>
  <c r="D31" i="6" s="1"/>
  <c r="P30" i="6"/>
  <c r="P29" i="6"/>
  <c r="P28" i="6"/>
  <c r="D26" i="6"/>
  <c r="D25" i="6" s="1"/>
  <c r="P24" i="6"/>
  <c r="P23" i="6" s="1"/>
  <c r="P22" i="6"/>
  <c r="P21" i="6"/>
  <c r="P20" i="6"/>
  <c r="P16" i="6"/>
  <c r="P15" i="6"/>
  <c r="P14" i="6"/>
  <c r="P13" i="6"/>
  <c r="P12" i="6"/>
  <c r="P11" i="6"/>
  <c r="P10" i="6"/>
  <c r="F8" i="6"/>
  <c r="F7" i="6" s="1"/>
  <c r="D8" i="6"/>
  <c r="D7" i="6" s="1"/>
  <c r="F6" i="6"/>
  <c r="E275" i="7" l="1"/>
  <c r="P215" i="7"/>
  <c r="P79" i="7"/>
  <c r="E79" i="7" s="1"/>
  <c r="D83" i="7"/>
  <c r="P44" i="6"/>
  <c r="E44" i="6" s="1"/>
  <c r="P122" i="7"/>
  <c r="E122" i="7" s="1"/>
  <c r="E23" i="6"/>
  <c r="G23" i="6" s="1"/>
  <c r="F35" i="6"/>
  <c r="F26" i="6" s="1"/>
  <c r="F25" i="6" s="1"/>
  <c r="P39" i="6"/>
  <c r="E39" i="6" s="1"/>
  <c r="G39" i="6" s="1"/>
  <c r="H39" i="6" s="1"/>
  <c r="E128" i="7"/>
  <c r="G258" i="7"/>
  <c r="H258" i="7" s="1"/>
  <c r="P319" i="7"/>
  <c r="E319" i="7" s="1"/>
  <c r="P113" i="7"/>
  <c r="G278" i="7"/>
  <c r="H278" i="7" s="1"/>
  <c r="G240" i="7"/>
  <c r="H240" i="7" s="1"/>
  <c r="F6" i="7"/>
  <c r="P212" i="7"/>
  <c r="P60" i="7"/>
  <c r="E60" i="7" s="1"/>
  <c r="G60" i="7" s="1"/>
  <c r="H60" i="7" s="1"/>
  <c r="G288" i="7"/>
  <c r="H288" i="7" s="1"/>
  <c r="G292" i="7"/>
  <c r="H292" i="7" s="1"/>
  <c r="G236" i="7"/>
  <c r="H236" i="7" s="1"/>
  <c r="G287" i="7"/>
  <c r="H287" i="7" s="1"/>
  <c r="G291" i="7"/>
  <c r="G298" i="7"/>
  <c r="H298" i="7" s="1"/>
  <c r="G257" i="7"/>
  <c r="H257" i="7" s="1"/>
  <c r="G231" i="7"/>
  <c r="H231" i="7" s="1"/>
  <c r="G251" i="7"/>
  <c r="H251" i="7" s="1"/>
  <c r="G284" i="7"/>
  <c r="H284" i="7" s="1"/>
  <c r="G299" i="7"/>
  <c r="H299" i="7" s="1"/>
  <c r="G297" i="7"/>
  <c r="H297" i="7" s="1"/>
  <c r="P178" i="7"/>
  <c r="P69" i="7"/>
  <c r="E69" i="7" s="1"/>
  <c r="G69" i="7" s="1"/>
  <c r="H69" i="7" s="1"/>
  <c r="P132" i="7"/>
  <c r="P140" i="7"/>
  <c r="E140" i="7" s="1"/>
  <c r="G140" i="7" s="1"/>
  <c r="H140" i="7" s="1"/>
  <c r="P169" i="7"/>
  <c r="E169" i="7" s="1"/>
  <c r="P8" i="7"/>
  <c r="D6" i="7"/>
  <c r="D35" i="6"/>
  <c r="D6" i="6" s="1"/>
  <c r="P27" i="6"/>
  <c r="P26" i="6" s="1"/>
  <c r="P25" i="6" s="1"/>
  <c r="G270" i="7"/>
  <c r="H270" i="7" s="1"/>
  <c r="G162" i="7"/>
  <c r="H162" i="7" s="1"/>
  <c r="G262" i="7"/>
  <c r="H262" i="7" s="1"/>
  <c r="G228" i="7"/>
  <c r="H228" i="7" s="1"/>
  <c r="G225" i="7"/>
  <c r="H225" i="7" s="1"/>
  <c r="G296" i="7"/>
  <c r="H296" i="7" s="1"/>
  <c r="E37" i="7"/>
  <c r="G37" i="7" s="1"/>
  <c r="H37" i="7" s="1"/>
  <c r="G276" i="7"/>
  <c r="H276" i="7" s="1"/>
  <c r="G300" i="7"/>
  <c r="H300" i="7" s="1"/>
  <c r="G302" i="7"/>
  <c r="H302" i="7" s="1"/>
  <c r="G220" i="7"/>
  <c r="H220" i="7" s="1"/>
  <c r="G223" i="7"/>
  <c r="H223" i="7" s="1"/>
  <c r="G239" i="7"/>
  <c r="H239" i="7" s="1"/>
  <c r="G256" i="7"/>
  <c r="H256" i="7" s="1"/>
  <c r="G266" i="7"/>
  <c r="H266" i="7" s="1"/>
  <c r="G274" i="7"/>
  <c r="H274" i="7" s="1"/>
  <c r="G289" i="7"/>
  <c r="H289" i="7" s="1"/>
  <c r="G301" i="7"/>
  <c r="H301" i="7" s="1"/>
  <c r="P53" i="7"/>
  <c r="P85" i="7"/>
  <c r="G227" i="7"/>
  <c r="H227" i="7" s="1"/>
  <c r="G230" i="7"/>
  <c r="H230" i="7" s="1"/>
  <c r="G235" i="7"/>
  <c r="H235" i="7" s="1"/>
  <c r="G285" i="7"/>
  <c r="H285" i="7" s="1"/>
  <c r="P30" i="7"/>
  <c r="P89" i="7"/>
  <c r="P110" i="7"/>
  <c r="G218" i="7"/>
  <c r="H218" i="7" s="1"/>
  <c r="G250" i="7"/>
  <c r="H250" i="7" s="1"/>
  <c r="G254" i="7"/>
  <c r="H254" i="7" s="1"/>
  <c r="G260" i="7"/>
  <c r="H260" i="7" s="1"/>
  <c r="G281" i="7"/>
  <c r="H281" i="7" s="1"/>
  <c r="P73" i="7"/>
  <c r="E73" i="7" s="1"/>
  <c r="G73" i="7" s="1"/>
  <c r="H73" i="7" s="1"/>
  <c r="F83" i="7"/>
  <c r="P103" i="7"/>
  <c r="P117" i="7"/>
  <c r="P64" i="7"/>
  <c r="P106" i="7"/>
  <c r="P159" i="7"/>
  <c r="P165" i="7"/>
  <c r="E165" i="7" s="1"/>
  <c r="P44" i="7"/>
  <c r="P13" i="7"/>
  <c r="G275" i="7"/>
  <c r="H275" i="7" s="1"/>
  <c r="P90" i="6"/>
  <c r="E90" i="6" s="1"/>
  <c r="E87" i="6" s="1"/>
  <c r="G88" i="6"/>
  <c r="H88" i="6" s="1"/>
  <c r="P48" i="6"/>
  <c r="E48" i="6" s="1"/>
  <c r="P19" i="6"/>
  <c r="E19" i="6" s="1"/>
  <c r="G130" i="7"/>
  <c r="H130" i="7" s="1"/>
  <c r="P152" i="7"/>
  <c r="G237" i="7"/>
  <c r="H237" i="7" s="1"/>
  <c r="G303" i="7"/>
  <c r="H303" i="7" s="1"/>
  <c r="G305" i="7"/>
  <c r="H305" i="7" s="1"/>
  <c r="E216" i="7"/>
  <c r="E215" i="7"/>
  <c r="G215" i="7" s="1"/>
  <c r="H215" i="7" s="1"/>
  <c r="E77" i="7"/>
  <c r="P76" i="7"/>
  <c r="E33" i="6"/>
  <c r="P32" i="6"/>
  <c r="P31" i="6" s="1"/>
  <c r="E51" i="7"/>
  <c r="E37" i="6"/>
  <c r="E82" i="6"/>
  <c r="G252" i="7"/>
  <c r="H252" i="7" s="1"/>
  <c r="G261" i="7"/>
  <c r="H261" i="7" s="1"/>
  <c r="G265" i="7"/>
  <c r="H265" i="7" s="1"/>
  <c r="G269" i="7"/>
  <c r="H269" i="7" s="1"/>
  <c r="G277" i="7"/>
  <c r="H277" i="7" s="1"/>
  <c r="G282" i="7"/>
  <c r="H282" i="7" s="1"/>
  <c r="G286" i="7"/>
  <c r="H286" i="7" s="1"/>
  <c r="G294" i="7"/>
  <c r="H294" i="7" s="1"/>
  <c r="P9" i="6"/>
  <c r="G248" i="7"/>
  <c r="H248" i="7" s="1"/>
  <c r="P92" i="7"/>
  <c r="G244" i="7"/>
  <c r="H244" i="7" s="1"/>
  <c r="P82" i="6"/>
  <c r="P81" i="6" s="1"/>
  <c r="P41" i="7"/>
  <c r="E41" i="7" s="1"/>
  <c r="G241" i="7"/>
  <c r="H241" i="7" s="1"/>
  <c r="P182" i="7"/>
  <c r="E307" i="7"/>
  <c r="P306" i="7"/>
  <c r="P315" i="7"/>
  <c r="E315" i="7" l="1"/>
  <c r="P310" i="7"/>
  <c r="E310" i="7"/>
  <c r="G79" i="7"/>
  <c r="H79" i="7" s="1"/>
  <c r="P8" i="6"/>
  <c r="E132" i="7"/>
  <c r="G132" i="7" s="1"/>
  <c r="H132" i="7" s="1"/>
  <c r="P116" i="7"/>
  <c r="E116" i="7" s="1"/>
  <c r="G116" i="7" s="1"/>
  <c r="H116" i="7" s="1"/>
  <c r="P151" i="7"/>
  <c r="P143" i="7" s="1"/>
  <c r="E143" i="7" s="1"/>
  <c r="G319" i="7"/>
  <c r="H319" i="7" s="1"/>
  <c r="P84" i="7"/>
  <c r="P175" i="7"/>
  <c r="E178" i="7"/>
  <c r="E175" i="7" s="1"/>
  <c r="G175" i="7" s="1"/>
  <c r="H175" i="7" s="1"/>
  <c r="E212" i="7"/>
  <c r="P204" i="7"/>
  <c r="G44" i="6"/>
  <c r="H44" i="6" s="1"/>
  <c r="E27" i="6"/>
  <c r="G27" i="6" s="1"/>
  <c r="H27" i="6" s="1"/>
  <c r="P36" i="6"/>
  <c r="P35" i="6" s="1"/>
  <c r="E117" i="7"/>
  <c r="G117" i="7" s="1"/>
  <c r="H117" i="7" s="1"/>
  <c r="G128" i="7"/>
  <c r="H128" i="7" s="1"/>
  <c r="E159" i="7"/>
  <c r="G159" i="7" s="1"/>
  <c r="H159" i="7" s="1"/>
  <c r="P158" i="7"/>
  <c r="E113" i="7"/>
  <c r="G113" i="7" s="1"/>
  <c r="H113" i="7" s="1"/>
  <c r="P50" i="7"/>
  <c r="P99" i="7"/>
  <c r="E99" i="7" s="1"/>
  <c r="G99" i="7" s="1"/>
  <c r="H99" i="7" s="1"/>
  <c r="J25" i="7"/>
  <c r="J26" i="7" s="1"/>
  <c r="P26" i="7" s="1"/>
  <c r="J27" i="7" s="1"/>
  <c r="P27" i="7" s="1"/>
  <c r="J23" i="7"/>
  <c r="P23" i="7" s="1"/>
  <c r="P22" i="7" s="1"/>
  <c r="E22" i="7" s="1"/>
  <c r="G22" i="7" s="1"/>
  <c r="H22" i="7" s="1"/>
  <c r="P186" i="7"/>
  <c r="E8" i="7"/>
  <c r="G8" i="7" s="1"/>
  <c r="H8" i="7" s="1"/>
  <c r="D5" i="7"/>
  <c r="E106" i="7"/>
  <c r="G106" i="7" s="1"/>
  <c r="H106" i="7" s="1"/>
  <c r="E110" i="7"/>
  <c r="G110" i="7" s="1"/>
  <c r="H110" i="7" s="1"/>
  <c r="E85" i="7"/>
  <c r="G85" i="7" s="1"/>
  <c r="H85" i="7" s="1"/>
  <c r="P164" i="7"/>
  <c r="E164" i="7"/>
  <c r="G164" i="7" s="1"/>
  <c r="H164" i="7" s="1"/>
  <c r="E103" i="7"/>
  <c r="G103" i="7" s="1"/>
  <c r="H103" i="7" s="1"/>
  <c r="E89" i="7"/>
  <c r="G89" i="7" s="1"/>
  <c r="H89" i="7" s="1"/>
  <c r="E53" i="7"/>
  <c r="G53" i="7" s="1"/>
  <c r="H53" i="7" s="1"/>
  <c r="E64" i="7"/>
  <c r="G64" i="7" s="1"/>
  <c r="H64" i="7" s="1"/>
  <c r="P36" i="7"/>
  <c r="G165" i="7"/>
  <c r="H165" i="7" s="1"/>
  <c r="G122" i="7"/>
  <c r="H122" i="7" s="1"/>
  <c r="E30" i="7"/>
  <c r="G30" i="7" s="1"/>
  <c r="H30" i="7" s="1"/>
  <c r="E44" i="7"/>
  <c r="E13" i="7"/>
  <c r="G13" i="7" s="1"/>
  <c r="H13" i="7" s="1"/>
  <c r="G90" i="6"/>
  <c r="H90" i="6" s="1"/>
  <c r="P87" i="6"/>
  <c r="P86" i="6" s="1"/>
  <c r="G48" i="6"/>
  <c r="H48" i="6" s="1"/>
  <c r="G19" i="6"/>
  <c r="H19" i="6" s="1"/>
  <c r="P181" i="7"/>
  <c r="E181" i="7" s="1"/>
  <c r="G181" i="7" s="1"/>
  <c r="H181" i="7" s="1"/>
  <c r="E182" i="7"/>
  <c r="E92" i="7"/>
  <c r="E186" i="7"/>
  <c r="G186" i="7" s="1"/>
  <c r="H186" i="7" s="1"/>
  <c r="E81" i="6"/>
  <c r="G81" i="6" s="1"/>
  <c r="H81" i="6" s="1"/>
  <c r="G82" i="6"/>
  <c r="H82" i="6" s="1"/>
  <c r="G33" i="6"/>
  <c r="H33" i="6" s="1"/>
  <c r="E32" i="6"/>
  <c r="G77" i="7"/>
  <c r="H77" i="7" s="1"/>
  <c r="E76" i="7"/>
  <c r="G76" i="7" s="1"/>
  <c r="H76" i="7" s="1"/>
  <c r="G216" i="7"/>
  <c r="H216" i="7" s="1"/>
  <c r="G37" i="6"/>
  <c r="H37" i="6" s="1"/>
  <c r="E36" i="6"/>
  <c r="G87" i="6"/>
  <c r="E86" i="6"/>
  <c r="P7" i="6"/>
  <c r="E9" i="6"/>
  <c r="E306" i="7"/>
  <c r="G306" i="7" s="1"/>
  <c r="H306" i="7" s="1"/>
  <c r="G307" i="7"/>
  <c r="H307" i="7" s="1"/>
  <c r="G41" i="7"/>
  <c r="H41" i="7" s="1"/>
  <c r="G176" i="7"/>
  <c r="G169" i="7"/>
  <c r="H169" i="7" s="1"/>
  <c r="G51" i="7"/>
  <c r="H51" i="7" s="1"/>
  <c r="P29" i="7"/>
  <c r="P28" i="7"/>
  <c r="G310" i="7" l="1"/>
  <c r="H310" i="7" s="1"/>
  <c r="E151" i="7"/>
  <c r="P83" i="7"/>
  <c r="G178" i="7"/>
  <c r="H178" i="7" s="1"/>
  <c r="E26" i="6"/>
  <c r="G212" i="7"/>
  <c r="E204" i="7"/>
  <c r="G204" i="7" s="1"/>
  <c r="H204" i="7" s="1"/>
  <c r="E158" i="7"/>
  <c r="G158" i="7" s="1"/>
  <c r="H158" i="7" s="1"/>
  <c r="E50" i="7"/>
  <c r="G50" i="7" s="1"/>
  <c r="H50" i="7" s="1"/>
  <c r="P25" i="7"/>
  <c r="P24" i="7" s="1"/>
  <c r="G44" i="7"/>
  <c r="H44" i="7" s="1"/>
  <c r="E36" i="7"/>
  <c r="G36" i="7" s="1"/>
  <c r="H36" i="7" s="1"/>
  <c r="G143" i="7"/>
  <c r="H143" i="7" s="1"/>
  <c r="G36" i="6"/>
  <c r="H36" i="6" s="1"/>
  <c r="E35" i="6"/>
  <c r="G35" i="6" s="1"/>
  <c r="H35" i="6" s="1"/>
  <c r="G92" i="7"/>
  <c r="H92" i="7" s="1"/>
  <c r="E84" i="7"/>
  <c r="H87" i="6"/>
  <c r="G86" i="6"/>
  <c r="H86" i="6" s="1"/>
  <c r="P6" i="6"/>
  <c r="E31" i="6"/>
  <c r="G31" i="6" s="1"/>
  <c r="H31" i="6" s="1"/>
  <c r="G32" i="6"/>
  <c r="H32" i="6" s="1"/>
  <c r="G182" i="7"/>
  <c r="H182" i="7" s="1"/>
  <c r="E8" i="6"/>
  <c r="G9" i="6"/>
  <c r="H9" i="6" s="1"/>
  <c r="G315" i="7"/>
  <c r="G26" i="6" l="1"/>
  <c r="H26" i="6" s="1"/>
  <c r="G151" i="7"/>
  <c r="H151" i="7" s="1"/>
  <c r="E83" i="7"/>
  <c r="G83" i="7" s="1"/>
  <c r="H83" i="7" s="1"/>
  <c r="E25" i="6"/>
  <c r="G25" i="6" s="1"/>
  <c r="H25" i="6" s="1"/>
  <c r="E7" i="6"/>
  <c r="G8" i="6"/>
  <c r="H8" i="6" s="1"/>
  <c r="E24" i="7"/>
  <c r="P7" i="7"/>
  <c r="P6" i="7" s="1"/>
  <c r="P5" i="7" s="1"/>
  <c r="G84" i="7"/>
  <c r="H84" i="7" s="1"/>
  <c r="E6" i="6" l="1"/>
  <c r="G6" i="6" s="1"/>
  <c r="H6" i="6" s="1"/>
  <c r="G24" i="7"/>
  <c r="H24" i="7" s="1"/>
  <c r="E7" i="7"/>
  <c r="G7" i="6"/>
  <c r="H7" i="6" s="1"/>
  <c r="G7" i="7" l="1"/>
  <c r="H7" i="7" s="1"/>
  <c r="E6" i="7"/>
  <c r="G6" i="7" l="1"/>
  <c r="H6" i="7" s="1"/>
  <c r="E5" i="7"/>
  <c r="G5" i="7" s="1"/>
  <c r="H5" i="7" s="1"/>
</calcChain>
</file>

<file path=xl/sharedStrings.xml><?xml version="1.0" encoding="utf-8"?>
<sst xmlns="http://schemas.openxmlformats.org/spreadsheetml/2006/main" count="2299" uniqueCount="484">
  <si>
    <t>장애인의날행사비 5,000천원+바오로교실기능보강 4,000천원</t>
  </si>
  <si>
    <t>제2조 1. 세입ㆍ세출의 명세는 세입ㆍ세출 예산서와 같다.</t>
  </si>
  <si>
    <t>세출경비가 부족할 경우에는 사회복지법인 및 사회복지시설 재무회계규칙 제 16조에 의거하여 예산을 전용할 수 있다.</t>
  </si>
  <si>
    <t>국가 또는 지자체로부터 교부된 보조금 및 수익자 부담경비, 후원금 등은 추가경정예산 성립 이전에 사용할 수 있으며</t>
  </si>
  <si>
    <t xml:space="preserve">3. 세출의 내용은 다음과 같다. </t>
  </si>
  <si>
    <t>동자동 임대수입(1층,지하층)</t>
  </si>
  <si>
    <t>성무활동비 및 미사예물(사제)</t>
  </si>
  <si>
    <t>양초사업 대여금 상환 관련 수입</t>
  </si>
  <si>
    <t>기획사업(가톨릭사회복지운영지표)</t>
  </si>
  <si>
    <t>기타후생비(장기근속포상 포함)</t>
  </si>
  <si>
    <t xml:space="preserve">2012년 11월 집행액(C)
</t>
  </si>
  <si>
    <t>온라인모금(해피빈, 신한아름인)</t>
  </si>
  <si>
    <t>카사지센 사업비 지원(자부담)</t>
  </si>
  <si>
    <t>이주사목위원회 지원(4개시설)</t>
  </si>
  <si>
    <t>바보의나눔 지원금</t>
  </si>
  <si>
    <t>회장 직책보조비</t>
  </si>
  <si>
    <t>사회복지사업 지원금</t>
  </si>
  <si>
    <t>로사리아공동생활</t>
  </si>
  <si>
    <t>(단위 : 천원)</t>
  </si>
  <si>
    <t>신풍오피스텔 임대</t>
  </si>
  <si>
    <t>신림성모성당데이</t>
  </si>
  <si>
    <t>임대료 지원(본회)</t>
  </si>
  <si>
    <t xml:space="preserve"> - 메뉴얼제작비</t>
  </si>
  <si>
    <t>바오로교실주간보호</t>
  </si>
  <si>
    <t>시흥4동성당데이</t>
  </si>
  <si>
    <t>보금자리공동생활</t>
  </si>
  <si>
    <t>헬렌켈러주간보호</t>
  </si>
  <si>
    <t>프란치스코어린이집</t>
  </si>
  <si>
    <t>혼배기부 축복미</t>
  </si>
  <si>
    <t>화곡본동성당데이</t>
  </si>
  <si>
    <t>등촌7종합복지관</t>
  </si>
  <si>
    <t xml:space="preserve"> 자기개발과정</t>
  </si>
  <si>
    <t>야근 식대</t>
  </si>
  <si>
    <t>사회조사</t>
  </si>
  <si>
    <t>자기개발과정</t>
  </si>
  <si>
    <t>사랑의집</t>
  </si>
  <si>
    <t>1.  세 입</t>
  </si>
  <si>
    <t>7) 잡수입</t>
  </si>
  <si>
    <t>재산수입</t>
  </si>
  <si>
    <t>기타 시설비</t>
  </si>
  <si>
    <t>차량유지비</t>
  </si>
  <si>
    <t>교육사업</t>
  </si>
  <si>
    <t>출판사업</t>
  </si>
  <si>
    <t>기타추진비</t>
  </si>
  <si>
    <t>지역사회</t>
  </si>
  <si>
    <t>시설전출금</t>
  </si>
  <si>
    <t>선교200주년</t>
  </si>
  <si>
    <t>교구지원금</t>
  </si>
  <si>
    <t>이사회 회의비</t>
  </si>
  <si>
    <t>제세공과금</t>
  </si>
  <si>
    <t>기타지원금</t>
  </si>
  <si>
    <t>총  계</t>
  </si>
  <si>
    <t>교구보조금</t>
  </si>
  <si>
    <t>기관운영비</t>
  </si>
  <si>
    <t>모금사업</t>
  </si>
  <si>
    <t>기타잡수입</t>
  </si>
  <si>
    <t>사업평가회</t>
  </si>
  <si>
    <t>보호사업</t>
  </si>
  <si>
    <t>1) 재산수입</t>
  </si>
  <si>
    <t>혼배기부사업비</t>
  </si>
  <si>
    <t>세실리아장학금</t>
  </si>
  <si>
    <t>본당지원금</t>
  </si>
  <si>
    <t>복지사업</t>
  </si>
  <si>
    <t>디딤자리</t>
  </si>
  <si>
    <t>諸유지보수비</t>
  </si>
  <si>
    <t xml:space="preserve">제1조 </t>
  </si>
  <si>
    <t>소  계</t>
  </si>
  <si>
    <t>인터넷사용료</t>
  </si>
  <si>
    <t>본당모금사업</t>
  </si>
  <si>
    <t>지로모금사업비</t>
  </si>
  <si>
    <t>종사자
교육비</t>
  </si>
  <si>
    <t>도곡어린이집</t>
  </si>
  <si>
    <t>사업관리</t>
  </si>
  <si>
    <t>성동노인복지관</t>
  </si>
  <si>
    <t>지정후원금</t>
  </si>
  <si>
    <t>특별지원사업</t>
  </si>
  <si>
    <t>성모영보장학회</t>
  </si>
  <si>
    <t>증감(B-A)</t>
  </si>
  <si>
    <t>장학금 지급</t>
  </si>
  <si>
    <t>대외협력사업</t>
  </si>
  <si>
    <t>5) 후원금</t>
  </si>
  <si>
    <t>보미나어린이집</t>
  </si>
  <si>
    <t>한마음지원금</t>
  </si>
  <si>
    <t>기타수수료</t>
  </si>
  <si>
    <t>요안나장학회</t>
  </si>
  <si>
    <t>전례준비비</t>
  </si>
  <si>
    <t>해뜨락어린이집</t>
  </si>
  <si>
    <t>지정후원이월금</t>
  </si>
  <si>
    <t>자산취득비</t>
  </si>
  <si>
    <t>마음자리</t>
  </si>
  <si>
    <t>기타예비비</t>
  </si>
  <si>
    <t>정근수당</t>
  </si>
  <si>
    <t>6) 상환금</t>
  </si>
  <si>
    <t>말가리다장학회</t>
  </si>
  <si>
    <t>5) 잡지출</t>
  </si>
  <si>
    <t>지정후원예비비</t>
  </si>
  <si>
    <t>공공요금</t>
  </si>
  <si>
    <t>금전출납</t>
  </si>
  <si>
    <t>2) 사업수입</t>
  </si>
  <si>
    <t>홍보출판</t>
  </si>
  <si>
    <t>모금관리</t>
  </si>
  <si>
    <t>장학금지급</t>
  </si>
  <si>
    <t>국민연금</t>
  </si>
  <si>
    <t>송화어린이집</t>
  </si>
  <si>
    <t>보조금수입</t>
  </si>
  <si>
    <t>한빛어린이집</t>
  </si>
  <si>
    <t>예금이자수입</t>
  </si>
  <si>
    <t>후원자관리</t>
  </si>
  <si>
    <t>전문가 자문비</t>
  </si>
  <si>
    <t>왕십리성당데이</t>
  </si>
  <si>
    <t>지로후원</t>
  </si>
  <si>
    <t>동작종합복지관</t>
  </si>
  <si>
    <t>산재보험</t>
  </si>
  <si>
    <t xml:space="preserve">제4조 </t>
  </si>
  <si>
    <t>교육사업수입</t>
  </si>
  <si>
    <t>소모품비</t>
  </si>
  <si>
    <t>유락종합복지관</t>
  </si>
  <si>
    <t>다향공동생활</t>
  </si>
  <si>
    <t>천호동성당데이</t>
  </si>
  <si>
    <t>시설지정기탁</t>
  </si>
  <si>
    <t>자부담이월금</t>
  </si>
  <si>
    <t>금천노인복지관</t>
  </si>
  <si>
    <t>기타보조금수입</t>
  </si>
  <si>
    <t>교육자문위원회</t>
  </si>
  <si>
    <t>자기계발비</t>
  </si>
  <si>
    <t>운영위원회의</t>
  </si>
  <si>
    <t>목동어린이집</t>
  </si>
  <si>
    <t>건강보험</t>
  </si>
  <si>
    <t>재가특별지원</t>
  </si>
  <si>
    <t>상계동성당데이</t>
  </si>
  <si>
    <t>우편물발송비</t>
  </si>
  <si>
    <t>직원 경조사비</t>
  </si>
  <si>
    <t>고덕양로원</t>
  </si>
  <si>
    <t>시설장비유지비</t>
  </si>
  <si>
    <t>3) 사업비</t>
  </si>
  <si>
    <t>요양보험</t>
  </si>
  <si>
    <t>기타재산수입</t>
  </si>
  <si>
    <t>퇴직연금</t>
  </si>
  <si>
    <t>지역사회모금</t>
  </si>
  <si>
    <t>고용보험</t>
  </si>
  <si>
    <t>임대수입</t>
  </si>
  <si>
    <t>고척동성당데이</t>
  </si>
  <si>
    <t>구파발성당데이</t>
  </si>
  <si>
    <t>4) 전입금</t>
  </si>
  <si>
    <t xml:space="preserve">제5조 </t>
  </si>
  <si>
    <t>햇빛자리</t>
  </si>
  <si>
    <t>차량유류대</t>
  </si>
  <si>
    <t>1) 사무비</t>
  </si>
  <si>
    <t>한빛종합복지관</t>
  </si>
  <si>
    <t>정기업무점검</t>
  </si>
  <si>
    <t>소라네공동생활</t>
  </si>
  <si>
    <t>비둘기주간보호</t>
  </si>
  <si>
    <t>기타운영비</t>
  </si>
  <si>
    <t>방배어린이집</t>
  </si>
  <si>
    <t>직책보조비</t>
  </si>
  <si>
    <t>기말수당</t>
  </si>
  <si>
    <t>비율(%)</t>
  </si>
  <si>
    <t>지원사업</t>
  </si>
  <si>
    <t>홈페이지 관리</t>
  </si>
  <si>
    <t>서리풀주간보호</t>
  </si>
  <si>
    <t>CMS관리비</t>
  </si>
  <si>
    <t>사업수입</t>
  </si>
  <si>
    <t>법인세환급금</t>
  </si>
  <si>
    <t>신망애의집</t>
  </si>
  <si>
    <t>연구기획사업</t>
  </si>
  <si>
    <t>자동차보험모금</t>
  </si>
  <si>
    <t>연희네공동생활</t>
  </si>
  <si>
    <t>서울주보 홍보</t>
  </si>
  <si>
    <t>활동가교육</t>
  </si>
  <si>
    <t>상계종합복지관</t>
  </si>
  <si>
    <t>공모사업지원금</t>
  </si>
  <si>
    <t>신당종합복지관</t>
  </si>
  <si>
    <t>다사랑공동생활</t>
  </si>
  <si>
    <t>기타후생경비</t>
  </si>
  <si>
    <t>성지보호작업장</t>
  </si>
  <si>
    <t>및 기타</t>
  </si>
  <si>
    <t>성가정입양원</t>
  </si>
  <si>
    <t>고액후원자관리</t>
  </si>
  <si>
    <t>홍보사업</t>
  </si>
  <si>
    <t>한가족장학회</t>
  </si>
  <si>
    <t>방송모금</t>
  </si>
  <si>
    <t>3) 보조금</t>
  </si>
  <si>
    <t>신망애공동생활</t>
  </si>
  <si>
    <t>2.  세 출</t>
  </si>
  <si>
    <t>연구사업</t>
  </si>
  <si>
    <t>행운동성당데이</t>
  </si>
  <si>
    <t>후원자통합관리</t>
  </si>
  <si>
    <t>갈현동성당데이</t>
  </si>
  <si>
    <t>신당동성당데이</t>
  </si>
  <si>
    <t>한국카리타스</t>
  </si>
  <si>
    <t>출장 여비</t>
  </si>
  <si>
    <t>계좌입금 후원</t>
  </si>
  <si>
    <t>공모지원사업</t>
  </si>
  <si>
    <t>6) 이월금</t>
  </si>
  <si>
    <t>누림학교</t>
  </si>
  <si>
    <t>등록단체지원금</t>
  </si>
  <si>
    <t>금호동성당데이</t>
  </si>
  <si>
    <t>일반모금</t>
  </si>
  <si>
    <t>벗들의집</t>
  </si>
  <si>
    <t>본당방문모금</t>
  </si>
  <si>
    <t>물품후원탁송료</t>
  </si>
  <si>
    <t>사회복지시설</t>
  </si>
  <si>
    <t>사랑손주간보호</t>
  </si>
  <si>
    <t>루치아공동생활</t>
  </si>
  <si>
    <t>우리들의공부방</t>
  </si>
  <si>
    <t>중곡종합복지관</t>
  </si>
  <si>
    <t>우리집공동체</t>
  </si>
  <si>
    <t>성과공유회</t>
  </si>
  <si>
    <t>두레네공동생활</t>
  </si>
  <si>
    <t>혜화동데이케어</t>
  </si>
  <si>
    <t>시설장연수</t>
  </si>
  <si>
    <t>장학사업</t>
  </si>
  <si>
    <t>본당사회</t>
  </si>
  <si>
    <t>기타 소송경비 등</t>
  </si>
  <si>
    <t>지역사회모금사업</t>
  </si>
  <si>
    <t>장애인고용장려금</t>
  </si>
  <si>
    <t>시설인사위원회 회의비</t>
  </si>
  <si>
    <t>성빈센트환경마을</t>
  </si>
  <si>
    <t>시설전출금
(후원금)</t>
  </si>
  <si>
    <t>부회장 직책보조비</t>
  </si>
  <si>
    <t xml:space="preserve"> - 업무점검교통비</t>
  </si>
  <si>
    <t>한가족장학금 지정후원</t>
  </si>
  <si>
    <t>내방자 긴급지원</t>
  </si>
  <si>
    <t>성모(등촌)어린이집</t>
  </si>
  <si>
    <t>덕계동 임대수입</t>
  </si>
  <si>
    <t>운영위원회회의비</t>
  </si>
  <si>
    <t>비지정후원이월금</t>
  </si>
  <si>
    <t>2) 재산조성비</t>
  </si>
  <si>
    <t>화해의집 쉼자리</t>
  </si>
  <si>
    <t>후원관리프로그램</t>
  </si>
  <si>
    <t>나자로보호작업장</t>
  </si>
  <si>
    <t>성가정노인복지관</t>
  </si>
  <si>
    <t>헬렌켈러단기거주</t>
  </si>
  <si>
    <t>꿈자람터장애인주간</t>
  </si>
  <si>
    <t>수용비 및
수수료</t>
  </si>
  <si>
    <t>8) 예비비 및 기타</t>
  </si>
  <si>
    <t>베들레헴어린이집</t>
  </si>
  <si>
    <t>중구장애인복지관</t>
  </si>
  <si>
    <t>연차보고서 발간</t>
  </si>
  <si>
    <t>사회보험
부담금</t>
  </si>
  <si>
    <t>비둘기직업적응훈련시설</t>
  </si>
  <si>
    <t>한빛장애인주간보호</t>
  </si>
  <si>
    <t>한국사회적기업진흥원</t>
  </si>
  <si>
    <t>시설장비
유지비</t>
  </si>
  <si>
    <t>4) 과년도지출</t>
  </si>
  <si>
    <t>경동제약지정후원금</t>
  </si>
  <si>
    <t>대림절 저금통(개인)</t>
  </si>
  <si>
    <t>지정기탁지원사업</t>
  </si>
  <si>
    <t>경동제약 지정기탁사업</t>
  </si>
  <si>
    <t>사랑손직업적응훈련시설</t>
  </si>
  <si>
    <t>7) 시설전출금</t>
  </si>
  <si>
    <t>장학사업
지정후원금</t>
  </si>
  <si>
    <t>동화나라어린이집</t>
  </si>
  <si>
    <t>서초3단지어린이집</t>
  </si>
  <si>
    <t xml:space="preserve">동작노인복지관 </t>
  </si>
  <si>
    <t>사순절 저금통(개인)</t>
  </si>
  <si>
    <t>한마음한몸
지정후원금</t>
  </si>
  <si>
    <t>바오로교실작업장</t>
  </si>
  <si>
    <t>시설비</t>
  </si>
  <si>
    <t>직책</t>
  </si>
  <si>
    <t>재산</t>
  </si>
  <si>
    <t>원</t>
  </si>
  <si>
    <t>식</t>
  </si>
  <si>
    <t>조성비</t>
  </si>
  <si>
    <t>대</t>
  </si>
  <si>
    <t>수입</t>
  </si>
  <si>
    <t>차량비</t>
  </si>
  <si>
    <t>근속</t>
  </si>
  <si>
    <t>후원금</t>
  </si>
  <si>
    <t>/</t>
  </si>
  <si>
    <t>항</t>
  </si>
  <si>
    <t>회의비</t>
  </si>
  <si>
    <t>업무</t>
  </si>
  <si>
    <t>합계</t>
  </si>
  <si>
    <t>관</t>
  </si>
  <si>
    <t>회</t>
  </si>
  <si>
    <t>월</t>
  </si>
  <si>
    <t>×</t>
  </si>
  <si>
    <t>목</t>
  </si>
  <si>
    <t>=</t>
  </si>
  <si>
    <t>급식비</t>
  </si>
  <si>
    <t>사무비</t>
  </si>
  <si>
    <t>전입금</t>
  </si>
  <si>
    <t>수당</t>
  </si>
  <si>
    <t>소계</t>
  </si>
  <si>
    <t xml:space="preserve"> =</t>
  </si>
  <si>
    <t>전출금</t>
  </si>
  <si>
    <t>예비비</t>
  </si>
  <si>
    <t>지정</t>
  </si>
  <si>
    <t>잡지출</t>
  </si>
  <si>
    <t>x</t>
  </si>
  <si>
    <t>인건비</t>
  </si>
  <si>
    <t xml:space="preserve"> </t>
  </si>
  <si>
    <t>추진비</t>
  </si>
  <si>
    <t>기본</t>
  </si>
  <si>
    <t>비지정</t>
  </si>
  <si>
    <t>명</t>
  </si>
  <si>
    <t>CMS</t>
  </si>
  <si>
    <t>계</t>
  </si>
  <si>
    <t>급여</t>
  </si>
  <si>
    <t>금액</t>
  </si>
  <si>
    <t>반환금</t>
  </si>
  <si>
    <t>잡수입</t>
  </si>
  <si>
    <t>이월금</t>
  </si>
  <si>
    <t>곳</t>
  </si>
  <si>
    <t>비율</t>
  </si>
  <si>
    <t>사업비</t>
  </si>
  <si>
    <t>총계</t>
  </si>
  <si>
    <t>직무</t>
  </si>
  <si>
    <t>법정</t>
  </si>
  <si>
    <t>대부료</t>
  </si>
  <si>
    <t>운영비</t>
  </si>
  <si>
    <t>분기</t>
  </si>
  <si>
    <t xml:space="preserve">  </t>
  </si>
  <si>
    <t>여비</t>
  </si>
  <si>
    <t>천원</t>
  </si>
  <si>
    <t>본봉</t>
  </si>
  <si>
    <t>온라인 홍보컨텐츠 구입</t>
  </si>
  <si>
    <t>서울대교구성당지정후원금</t>
  </si>
  <si>
    <t>사회복지사목 시범본당 운영</t>
  </si>
  <si>
    <t>예다움보듬이나눔이어린이집</t>
  </si>
  <si>
    <t>요안나장학기금 이자수입</t>
  </si>
  <si>
    <t>특별수당(부활,휴가,성탄)</t>
  </si>
  <si>
    <t>본당 자원봉사 
관리및 운영</t>
  </si>
  <si>
    <t>선교200주년장학금 지정후원</t>
  </si>
  <si>
    <t>사무실 및 교육실 임차료</t>
  </si>
  <si>
    <t>성모영보장학사업 지정후원</t>
  </si>
  <si>
    <t>다과구입 등 기타회의비</t>
  </si>
  <si>
    <t>통신사 기지국 임대수입</t>
  </si>
  <si>
    <t>성모영보장학기금  이자수입</t>
  </si>
  <si>
    <t>자동차세 및 자동차보험료</t>
  </si>
  <si>
    <t>희망의밥(바보 개인지정기탁)</t>
  </si>
  <si>
    <t xml:space="preserve"> 특별과정(가톨릭에코연대)</t>
  </si>
  <si>
    <t>말가리다장학기금 이자수입</t>
  </si>
  <si>
    <t xml:space="preserve">본당사회복지자문위원회 </t>
  </si>
  <si>
    <t>기타재산수입 및 배당수입</t>
  </si>
  <si>
    <t>동자동 임대수입(4층)</t>
  </si>
  <si>
    <t>사업계획서, 보고서 발간</t>
  </si>
  <si>
    <t>사회복지회 사제 급여 지원금</t>
  </si>
  <si>
    <t>성지주일(사순)2차헌금</t>
  </si>
  <si>
    <t xml:space="preserve">직영수탁시설 근조기운영 </t>
  </si>
  <si>
    <t>사례컨퍼런스 및 사례집제작</t>
  </si>
  <si>
    <t>직원교육 및 연수(내외부)</t>
  </si>
  <si>
    <t>자선주일(대림)2차헌금</t>
  </si>
  <si>
    <t>전자지급결제대행 수수료</t>
  </si>
  <si>
    <t>등기,평가, 중개수수료 등</t>
  </si>
  <si>
    <t xml:space="preserve"> - 점검단교육비및 평가회비</t>
  </si>
  <si>
    <t>장학금지급(1~12월)</t>
  </si>
  <si>
    <t>통합네트워크시스템 유지비</t>
  </si>
  <si>
    <t>요안나장학사업 지정후원</t>
  </si>
  <si>
    <t>본당사회복지 공모지원사업</t>
  </si>
  <si>
    <t>취약계층지원사업</t>
  </si>
  <si>
    <t>생명존중
문화만들기</t>
  </si>
  <si>
    <t>전기 · 전화요금</t>
  </si>
  <si>
    <t>동절기노숙인야간순회</t>
  </si>
  <si>
    <t>너울자리공동생활</t>
  </si>
  <si>
    <t>마로니에공동생활</t>
  </si>
  <si>
    <t>취약계층 주거비 지원</t>
  </si>
  <si>
    <t>옥수동아파트 임대수입</t>
  </si>
  <si>
    <t>샛별지역아동센터</t>
  </si>
  <si>
    <t>헬렌켈러공동생활</t>
  </si>
  <si>
    <t xml:space="preserve"> - 특별업무점검비</t>
  </si>
  <si>
    <t>노숙인 야간순회</t>
  </si>
  <si>
    <t xml:space="preserve"> 카리타스정체성</t>
  </si>
  <si>
    <t>구리아파트 임대수입</t>
  </si>
  <si>
    <t>하늘자리공동생활</t>
  </si>
  <si>
    <t>홍보물 및 평가회의</t>
  </si>
  <si>
    <t>카리타스정체성과정</t>
  </si>
  <si>
    <t>가톨릭에코
연대사업</t>
  </si>
  <si>
    <t>시범본당 운영지원</t>
  </si>
  <si>
    <t>모범본당 운영지원</t>
  </si>
  <si>
    <t>사례집 제작 및 배포</t>
  </si>
  <si>
    <t>시설본당 공동사업지원</t>
  </si>
  <si>
    <t>사업계획 및 평가</t>
  </si>
  <si>
    <t>한우리보호작업장</t>
  </si>
  <si>
    <t>회계감사및 세무조정료</t>
  </si>
  <si>
    <t>헬렌켈러공동생활2</t>
  </si>
  <si>
    <t>비지정후원 예비비</t>
  </si>
  <si>
    <t>CS노인통합
사례관리</t>
  </si>
  <si>
    <t>사업수행본당 평가회</t>
  </si>
  <si>
    <t>사업설명회 및 심사</t>
  </si>
  <si>
    <t>한우리정보문화센터</t>
  </si>
  <si>
    <t>장학기금
이자수입</t>
  </si>
  <si>
    <t>양천데이케어센터</t>
  </si>
  <si>
    <t>사순절/대림절 모금</t>
  </si>
  <si>
    <t>본당사회복지활동지원</t>
  </si>
  <si>
    <t>본당 사업 지원금</t>
  </si>
  <si>
    <t>양천어르신요양센터</t>
  </si>
  <si>
    <t>직원 회의비 등</t>
  </si>
  <si>
    <t>지정기탁시설지원 등</t>
  </si>
  <si>
    <t>강일성모노인요양</t>
  </si>
  <si>
    <t>운영위원 회의비</t>
  </si>
  <si>
    <t>사무용  비품구입</t>
  </si>
  <si>
    <t>특별수당(설,추석)</t>
  </si>
  <si>
    <t>마고네지역아동센터</t>
  </si>
  <si>
    <t>화곡성모공동생활</t>
  </si>
  <si>
    <t xml:space="preserve">선종봉사부 반환금 </t>
  </si>
  <si>
    <t>꿈손단기보호시설</t>
  </si>
  <si>
    <t>2. 세입의 주요 재원은 다음과 같다.</t>
  </si>
  <si>
    <t>명일동성당지원금(성가정노인복지관지원)</t>
  </si>
  <si>
    <t>이는 차기 추가경정예산에 반영해야 한다.</t>
  </si>
  <si>
    <t>월</t>
    <phoneticPr fontId="6" type="noConversion"/>
  </si>
  <si>
    <t>사순대림 저금통(본당)</t>
    <phoneticPr fontId="6" type="noConversion"/>
  </si>
  <si>
    <t>원</t>
    <phoneticPr fontId="6" type="noConversion"/>
  </si>
  <si>
    <t>서울가톨릭사회복지회 2022년  세입·세출 예산</t>
    <phoneticPr fontId="6" type="noConversion"/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</si>
  <si>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</si>
  <si>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</si>
  <si>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명</t>
    <phoneticPr fontId="6" type="noConversion"/>
  </si>
  <si>
    <t>시설전출금+시설전출후원금</t>
    <phoneticPr fontId="6" type="noConversion"/>
  </si>
  <si>
    <t>시설전출금</t>
    <phoneticPr fontId="6" type="noConversion"/>
  </si>
  <si>
    <t>운영사업</t>
    <phoneticPr fontId="6" type="noConversion"/>
  </si>
  <si>
    <t>시설 수탁관리비</t>
    <phoneticPr fontId="6" type="noConversion"/>
  </si>
  <si>
    <t>시설 재산관리비</t>
    <phoneticPr fontId="6" type="noConversion"/>
  </si>
  <si>
    <t>법인/시설
연대사업비</t>
    <phoneticPr fontId="6" type="noConversion"/>
  </si>
  <si>
    <t>수탁신청 및 이행보증보험료 등</t>
    <phoneticPr fontId="6" type="noConversion"/>
  </si>
  <si>
    <t>시설방문 및 축하금</t>
    <phoneticPr fontId="6" type="noConversion"/>
  </si>
  <si>
    <t>시설 고충처리위원회</t>
    <phoneticPr fontId="6" type="noConversion"/>
  </si>
  <si>
    <t>소  계</t>
    <phoneticPr fontId="6" type="noConversion"/>
  </si>
  <si>
    <t>교정사목위원회 지원</t>
    <phoneticPr fontId="6" type="noConversion"/>
  </si>
  <si>
    <t>업무점검</t>
    <phoneticPr fontId="6" type="noConversion"/>
  </si>
  <si>
    <t>2021년한마음지원금 잔액반환 등</t>
    <phoneticPr fontId="6" type="noConversion"/>
  </si>
  <si>
    <t>취약계층 생계비 지원</t>
    <phoneticPr fontId="6" type="noConversion"/>
  </si>
  <si>
    <t>취약계층 의료비 지원</t>
    <phoneticPr fontId="6" type="noConversion"/>
  </si>
  <si>
    <t>한국종사협, 서복연 등</t>
    <phoneticPr fontId="6" type="noConversion"/>
  </si>
  <si>
    <t>인식개선사업</t>
    <phoneticPr fontId="6" type="noConversion"/>
  </si>
  <si>
    <t>온라인매체 콘텐츠 제작</t>
    <phoneticPr fontId="6" type="noConversion"/>
  </si>
  <si>
    <t>전문인력양성및 캠페인</t>
    <phoneticPr fontId="6" type="noConversion"/>
  </si>
  <si>
    <t>곳</t>
    <phoneticPr fontId="6" type="noConversion"/>
  </si>
  <si>
    <t>혼배기부 홍보지 제작비</t>
    <phoneticPr fontId="6" type="noConversion"/>
  </si>
  <si>
    <t>기타관리비(신청서 제작 등)</t>
    <phoneticPr fontId="6" type="noConversion"/>
  </si>
  <si>
    <t>홍보동영상</t>
    <phoneticPr fontId="6" type="noConversion"/>
  </si>
  <si>
    <t>강사비</t>
    <phoneticPr fontId="6" type="noConversion"/>
  </si>
  <si>
    <t>대관비,진행비</t>
    <phoneticPr fontId="6" type="noConversion"/>
  </si>
  <si>
    <t>간식비,홍보비</t>
    <phoneticPr fontId="6" type="noConversion"/>
  </si>
  <si>
    <t>노후시설환경개선지정후원</t>
    <phoneticPr fontId="6" type="noConversion"/>
  </si>
  <si>
    <t>재산세 및 재산관련 보험</t>
    <phoneticPr fontId="6" type="noConversion"/>
  </si>
  <si>
    <t>종합부동산세</t>
    <phoneticPr fontId="6" type="noConversion"/>
  </si>
  <si>
    <t>서로함께공동생활</t>
    <phoneticPr fontId="6" type="noConversion"/>
  </si>
  <si>
    <t>보호사업</t>
    <phoneticPr fontId="6" type="noConversion"/>
  </si>
  <si>
    <t>지역사회</t>
    <phoneticPr fontId="6" type="noConversion"/>
  </si>
  <si>
    <t>수탁종료시설 지원금 등</t>
    <phoneticPr fontId="6" type="noConversion"/>
  </si>
  <si>
    <t>본당사회복지사목 매뉴얼 제작</t>
    <phoneticPr fontId="6" type="noConversion"/>
  </si>
  <si>
    <t>기쁜우리월드소송관련비 지원</t>
    <phoneticPr fontId="6" type="noConversion"/>
  </si>
  <si>
    <t>2021년 법인세 환급</t>
    <phoneticPr fontId="6" type="noConversion"/>
  </si>
  <si>
    <t>조정수당</t>
    <phoneticPr fontId="6" type="noConversion"/>
  </si>
  <si>
    <t>월</t>
    <phoneticPr fontId="6" type="noConversion"/>
  </si>
  <si>
    <t>신년인사회 등 행사비(장기근속포함)</t>
    <phoneticPr fontId="6" type="noConversion"/>
  </si>
  <si>
    <t>직원변동</t>
    <phoneticPr fontId="6" type="noConversion"/>
  </si>
  <si>
    <t>상계장애인주간</t>
    <phoneticPr fontId="6" type="noConversion"/>
  </si>
  <si>
    <t>신규</t>
    <phoneticPr fontId="6" type="noConversion"/>
  </si>
  <si>
    <t>시설전출금+장애인고용장려금</t>
    <phoneticPr fontId="6" type="noConversion"/>
  </si>
  <si>
    <t>시설전출금+시설전출후원금+장애인고용장려금</t>
    <phoneticPr fontId="6" type="noConversion"/>
  </si>
  <si>
    <t>통합운영위원회회의비</t>
    <phoneticPr fontId="6" type="noConversion"/>
  </si>
  <si>
    <t>취약계층 긴급지원사업</t>
    <phoneticPr fontId="6" type="noConversion"/>
  </si>
  <si>
    <t>온라인 웹진 제작</t>
    <phoneticPr fontId="6" type="noConversion"/>
  </si>
  <si>
    <t>취약계층 식료품지원사업</t>
    <phoneticPr fontId="6" type="noConversion"/>
  </si>
  <si>
    <t>홍보대사 활동 및 관리</t>
    <phoneticPr fontId="6" type="noConversion"/>
  </si>
  <si>
    <t>모금 캠페인(장학금 등)</t>
    <phoneticPr fontId="6" type="noConversion"/>
  </si>
  <si>
    <t>대외협력
사업</t>
    <phoneticPr fontId="6" type="noConversion"/>
  </si>
  <si>
    <t>미혼부모 자립지원사업</t>
    <phoneticPr fontId="6" type="noConversion"/>
  </si>
  <si>
    <t>미혼부모가정 자립지원</t>
    <phoneticPr fontId="6" type="noConversion"/>
  </si>
  <si>
    <t>2022년1차
추경예산(A)</t>
  </si>
  <si>
    <t>2022년1차
추경예산(A)</t>
    <phoneticPr fontId="6" type="noConversion"/>
  </si>
  <si>
    <t>2022년2차
추경예산(B)</t>
  </si>
  <si>
    <t>2022년2차
추경예산(B)</t>
    <phoneticPr fontId="6" type="noConversion"/>
  </si>
  <si>
    <t>요셉의원</t>
    <phoneticPr fontId="6" type="noConversion"/>
  </si>
  <si>
    <t>신규</t>
    <phoneticPr fontId="6" type="noConversion"/>
  </si>
  <si>
    <t>시설전출금</t>
    <phoneticPr fontId="6" type="noConversion"/>
  </si>
  <si>
    <t>재산매각수입</t>
    <phoneticPr fontId="6" type="noConversion"/>
  </si>
  <si>
    <t>기본재산 매각수입</t>
    <phoneticPr fontId="6" type="noConversion"/>
  </si>
  <si>
    <t>신규</t>
    <phoneticPr fontId="6" type="noConversion"/>
  </si>
  <si>
    <t>회</t>
    <phoneticPr fontId="6" type="noConversion"/>
  </si>
  <si>
    <t>사회사목국 연계</t>
    <phoneticPr fontId="6" type="noConversion"/>
  </si>
  <si>
    <t>행복품앗이사업단 폐업잔액</t>
    <phoneticPr fontId="6" type="noConversion"/>
  </si>
  <si>
    <t>사랑의손길(한마음 주보)</t>
    <phoneticPr fontId="6" type="noConversion"/>
  </si>
  <si>
    <t>원</t>
    <phoneticPr fontId="6" type="noConversion"/>
  </si>
  <si>
    <t>월</t>
    <phoneticPr fontId="6" type="noConversion"/>
  </si>
  <si>
    <t>전출금</t>
    <phoneticPr fontId="6" type="noConversion"/>
  </si>
  <si>
    <t>예비비
및기타</t>
    <phoneticPr fontId="6" type="noConversion"/>
  </si>
  <si>
    <t>차년도이월금</t>
    <phoneticPr fontId="6" type="noConversion"/>
  </si>
  <si>
    <t>신규</t>
    <phoneticPr fontId="6" type="noConversion"/>
  </si>
  <si>
    <t>사회복지법인 서울가톨릭사회복지회의  2022년 제2차 추가경정예산(안) 세입 · 세출액은 각각 9,143,392천원이며</t>
    <phoneticPr fontId="6" type="noConversion"/>
  </si>
  <si>
    <t>2022년 제1차 추가경정예산 대비 5.0%  증가하였다.</t>
    <phoneticPr fontId="6" type="noConversion"/>
  </si>
  <si>
    <t>2022년 제2차 추가경정예산 총칙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</si>
</sst>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41" formatCode="_-* #,##0_-;\-* #,##0_-;_-* &quot;-&quot;_-;_-@_-"/>
    <numFmt numFmtId="43" formatCode="_-* #,##0.00_-;\-* #,##0.00_-;_-* &quot;-&quot;??_-;_-@_-"/>
    <numFmt numFmtId="178" formatCode="#,##0_ "/>
    <numFmt numFmtId="179" formatCode="#,##0.0_ "/>
    <numFmt numFmtId="180" formatCode="#,##0.0"/>
    <numFmt numFmtId="183" formatCode="0.000%"/>
    <numFmt numFmtId="184" formatCode="0.0%"/>
    <numFmt numFmtId="185" formatCode="0_);[Red]\(0\)"/>
  </numFmts>
  <fonts count="23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2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4"/>
      <name val="맑은 고딕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4"/>
      <name val="굴림체"/>
      <family val="3"/>
      <charset val="129"/>
    </font>
    <font>
      <b/>
      <sz val="7.5"/>
      <name val="굴림체"/>
      <family val="3"/>
      <charset val="129"/>
    </font>
    <font>
      <b/>
      <sz val="8"/>
      <name val="굴림체"/>
      <family val="3"/>
      <charset val="129"/>
    </font>
    <font>
      <b/>
      <sz val="1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9" fontId="5" fillId="0" borderId="0">
      <alignment vertical="center"/>
    </xf>
    <xf numFmtId="41" fontId="5" fillId="0" borderId="0">
      <alignment vertical="center"/>
    </xf>
    <xf numFmtId="0" fontId="1" fillId="0" borderId="0"/>
    <xf numFmtId="0" fontId="5" fillId="0" borderId="0">
      <alignment vertical="center"/>
    </xf>
  </cellStyleXfs>
  <cellXfs count="607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0" fillId="0" borderId="0" xfId="0" applyAlignment="1">
      <alignment horizontal="left" vertical="center"/>
    </xf>
    <xf numFmtId="41" fontId="7" fillId="0" borderId="37" xfId="0" applyNumberFormat="1" applyFont="1" applyBorder="1">
      <alignment vertical="center"/>
    </xf>
    <xf numFmtId="0" fontId="7" fillId="0" borderId="38" xfId="0" applyFont="1" applyBorder="1">
      <alignment vertical="center"/>
    </xf>
    <xf numFmtId="0" fontId="7" fillId="0" borderId="37" xfId="0" applyFont="1" applyBorder="1" applyAlignment="1">
      <alignment horizontal="left" vertical="center" shrinkToFit="1"/>
    </xf>
    <xf numFmtId="41" fontId="7" fillId="0" borderId="37" xfId="4" applyFont="1" applyBorder="1">
      <alignment vertical="center"/>
    </xf>
    <xf numFmtId="0" fontId="7" fillId="0" borderId="37" xfId="0" applyFont="1" applyBorder="1">
      <alignment vertical="center"/>
    </xf>
    <xf numFmtId="0" fontId="9" fillId="0" borderId="37" xfId="0" applyFont="1" applyBorder="1" applyAlignment="1">
      <alignment horizontal="center" vertical="center"/>
    </xf>
    <xf numFmtId="41" fontId="7" fillId="0" borderId="0" xfId="4" applyFont="1">
      <alignment vertical="center"/>
    </xf>
    <xf numFmtId="0" fontId="7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28" xfId="0" applyFont="1" applyBorder="1">
      <alignment vertical="center"/>
    </xf>
    <xf numFmtId="0" fontId="7" fillId="0" borderId="37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41" fontId="7" fillId="0" borderId="29" xfId="4" applyFont="1" applyBorder="1">
      <alignment vertical="center"/>
    </xf>
    <xf numFmtId="0" fontId="7" fillId="0" borderId="29" xfId="0" applyFont="1" applyBorder="1">
      <alignment vertical="center"/>
    </xf>
    <xf numFmtId="0" fontId="9" fillId="0" borderId="29" xfId="0" applyFont="1" applyBorder="1" applyAlignment="1">
      <alignment horizontal="center" vertical="center"/>
    </xf>
    <xf numFmtId="0" fontId="7" fillId="0" borderId="29" xfId="0" quotePrefix="1" applyFont="1" applyBorder="1" applyAlignment="1">
      <alignment horizontal="center" vertical="center"/>
    </xf>
    <xf numFmtId="0" fontId="7" fillId="0" borderId="20" xfId="0" applyFont="1" applyBorder="1">
      <alignment vertical="center"/>
    </xf>
    <xf numFmtId="0" fontId="7" fillId="0" borderId="9" xfId="0" applyFont="1" applyBorder="1" applyAlignment="1">
      <alignment horizontal="center" vertical="center"/>
    </xf>
    <xf numFmtId="0" fontId="8" fillId="0" borderId="0" xfId="0" applyFont="1">
      <alignment vertical="center"/>
    </xf>
    <xf numFmtId="41" fontId="8" fillId="0" borderId="0" xfId="2" applyFont="1">
      <alignment vertical="center"/>
    </xf>
    <xf numFmtId="0" fontId="14" fillId="0" borderId="0" xfId="0" applyFont="1" applyAlignment="1">
      <alignment horizontal="center" vertical="center"/>
    </xf>
    <xf numFmtId="3" fontId="14" fillId="0" borderId="0" xfId="2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/>
    </xf>
    <xf numFmtId="3" fontId="15" fillId="0" borderId="5" xfId="2" applyNumberFormat="1" applyFont="1" applyBorder="1" applyAlignment="1">
      <alignment horizontal="center" vertical="center"/>
    </xf>
    <xf numFmtId="180" fontId="15" fillId="0" borderId="5" xfId="2" applyNumberFormat="1" applyFont="1" applyBorder="1" applyAlignment="1">
      <alignment horizontal="center" vertical="center"/>
    </xf>
    <xf numFmtId="41" fontId="15" fillId="0" borderId="31" xfId="2" applyFont="1" applyBorder="1" applyAlignment="1">
      <alignment horizontal="center" vertical="center"/>
    </xf>
    <xf numFmtId="41" fontId="15" fillId="0" borderId="32" xfId="4" applyFont="1" applyBorder="1" applyAlignment="1">
      <alignment horizontal="center" vertical="center"/>
    </xf>
    <xf numFmtId="3" fontId="15" fillId="0" borderId="31" xfId="2" applyNumberFormat="1" applyFont="1" applyBorder="1" applyAlignment="1">
      <alignment horizontal="right" vertical="center"/>
    </xf>
    <xf numFmtId="180" fontId="15" fillId="0" borderId="31" xfId="2" applyNumberFormat="1" applyFont="1" applyBorder="1" applyAlignment="1">
      <alignment horizontal="right" vertical="center"/>
    </xf>
    <xf numFmtId="0" fontId="10" fillId="0" borderId="33" xfId="0" applyFont="1" applyBorder="1">
      <alignment vertical="center"/>
    </xf>
    <xf numFmtId="0" fontId="10" fillId="0" borderId="33" xfId="0" applyFont="1" applyBorder="1" applyAlignment="1">
      <alignment horizontal="center" vertical="center"/>
    </xf>
    <xf numFmtId="41" fontId="16" fillId="0" borderId="33" xfId="0" applyNumberFormat="1" applyFont="1" applyBorder="1">
      <alignment vertical="center"/>
    </xf>
    <xf numFmtId="0" fontId="16" fillId="0" borderId="34" xfId="0" applyFont="1" applyBorder="1">
      <alignment vertical="center"/>
    </xf>
    <xf numFmtId="0" fontId="17" fillId="0" borderId="2" xfId="0" applyFont="1" applyBorder="1" applyAlignment="1">
      <alignment horizontal="center" vertical="center"/>
    </xf>
    <xf numFmtId="41" fontId="17" fillId="0" borderId="4" xfId="2" applyFont="1" applyBorder="1" applyAlignment="1">
      <alignment horizontal="center" vertical="center"/>
    </xf>
    <xf numFmtId="41" fontId="17" fillId="0" borderId="35" xfId="2" applyFont="1" applyBorder="1" applyAlignment="1">
      <alignment horizontal="center" vertical="center"/>
    </xf>
    <xf numFmtId="41" fontId="17" fillId="0" borderId="35" xfId="4" applyFont="1" applyBorder="1" applyAlignment="1">
      <alignment horizontal="center" vertical="center"/>
    </xf>
    <xf numFmtId="3" fontId="17" fillId="0" borderId="18" xfId="2" applyNumberFormat="1" applyFont="1" applyBorder="1" applyAlignment="1">
      <alignment horizontal="right" vertical="center"/>
    </xf>
    <xf numFmtId="180" fontId="17" fillId="0" borderId="18" xfId="2" applyNumberFormat="1" applyFont="1" applyBorder="1" applyAlignment="1">
      <alignment horizontal="right" vertical="center"/>
    </xf>
    <xf numFmtId="0" fontId="10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41" fontId="16" fillId="0" borderId="0" xfId="0" applyNumberFormat="1" applyFont="1">
      <alignment vertical="center"/>
    </xf>
    <xf numFmtId="0" fontId="16" fillId="0" borderId="28" xfId="0" applyFont="1" applyBorder="1">
      <alignment vertical="center"/>
    </xf>
    <xf numFmtId="41" fontId="7" fillId="0" borderId="0" xfId="2" applyFont="1">
      <alignment vertical="center"/>
    </xf>
    <xf numFmtId="0" fontId="17" fillId="0" borderId="10" xfId="0" applyFont="1" applyBorder="1" applyAlignment="1">
      <alignment horizontal="center" vertical="center" shrinkToFit="1"/>
    </xf>
    <xf numFmtId="41" fontId="18" fillId="0" borderId="36" xfId="4" applyFont="1" applyBorder="1" applyAlignment="1">
      <alignment horizontal="center" vertical="center"/>
    </xf>
    <xf numFmtId="3" fontId="8" fillId="0" borderId="9" xfId="2" applyNumberFormat="1" applyFont="1" applyBorder="1" applyAlignment="1">
      <alignment horizontal="right" vertical="center"/>
    </xf>
    <xf numFmtId="0" fontId="10" fillId="0" borderId="37" xfId="0" applyFont="1" applyBorder="1">
      <alignment vertical="center"/>
    </xf>
    <xf numFmtId="0" fontId="10" fillId="0" borderId="3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 shrinkToFit="1"/>
    </xf>
    <xf numFmtId="41" fontId="8" fillId="0" borderId="36" xfId="4" applyFont="1" applyBorder="1" applyAlignment="1">
      <alignment horizontal="center" vertical="center"/>
    </xf>
    <xf numFmtId="0" fontId="7" fillId="0" borderId="24" xfId="0" applyFont="1" applyBorder="1" applyAlignment="1">
      <alignment horizontal="left" vertical="center"/>
    </xf>
    <xf numFmtId="41" fontId="7" fillId="0" borderId="37" xfId="2" applyFont="1" applyBorder="1">
      <alignment vertical="center"/>
    </xf>
    <xf numFmtId="41" fontId="8" fillId="0" borderId="35" xfId="4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 shrinkToFit="1"/>
    </xf>
    <xf numFmtId="41" fontId="8" fillId="0" borderId="39" xfId="4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41" fontId="7" fillId="0" borderId="29" xfId="2" applyFont="1" applyBorder="1">
      <alignment vertical="center"/>
    </xf>
    <xf numFmtId="0" fontId="17" fillId="0" borderId="11" xfId="0" applyFont="1" applyBorder="1" applyAlignment="1">
      <alignment horizontal="center" vertical="center" shrinkToFit="1"/>
    </xf>
    <xf numFmtId="41" fontId="17" fillId="0" borderId="9" xfId="2" applyFont="1" applyBorder="1" applyAlignment="1">
      <alignment horizontal="center" vertical="center"/>
    </xf>
    <xf numFmtId="41" fontId="17" fillId="0" borderId="40" xfId="2" applyFont="1" applyBorder="1" applyAlignment="1">
      <alignment horizontal="center" vertical="center"/>
    </xf>
    <xf numFmtId="41" fontId="17" fillId="0" borderId="9" xfId="4" applyFont="1" applyBorder="1" applyAlignment="1">
      <alignment horizontal="center" vertical="center"/>
    </xf>
    <xf numFmtId="3" fontId="17" fillId="0" borderId="9" xfId="2" applyNumberFormat="1" applyFont="1" applyBorder="1" applyAlignment="1">
      <alignment horizontal="right" vertical="center"/>
    </xf>
    <xf numFmtId="180" fontId="17" fillId="0" borderId="9" xfId="2" applyNumberFormat="1" applyFont="1" applyBorder="1" applyAlignment="1">
      <alignment horizontal="right" vertical="center"/>
    </xf>
    <xf numFmtId="0" fontId="7" fillId="0" borderId="41" xfId="0" applyFont="1" applyBorder="1">
      <alignment vertical="center"/>
    </xf>
    <xf numFmtId="41" fontId="16" fillId="0" borderId="41" xfId="0" applyNumberFormat="1" applyFont="1" applyBorder="1">
      <alignment vertical="center"/>
    </xf>
    <xf numFmtId="0" fontId="16" fillId="0" borderId="25" xfId="0" applyFont="1" applyBorder="1">
      <alignment vertical="center"/>
    </xf>
    <xf numFmtId="41" fontId="18" fillId="0" borderId="3" xfId="4" applyFont="1" applyBorder="1" applyAlignment="1">
      <alignment horizontal="center" vertical="center"/>
    </xf>
    <xf numFmtId="41" fontId="7" fillId="0" borderId="0" xfId="0" applyNumberFormat="1" applyFont="1">
      <alignment vertical="center"/>
    </xf>
    <xf numFmtId="0" fontId="17" fillId="0" borderId="16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7" fillId="0" borderId="42" xfId="0" applyFont="1" applyBorder="1" applyAlignment="1">
      <alignment horizontal="left" vertical="center" shrinkToFit="1"/>
    </xf>
    <xf numFmtId="41" fontId="17" fillId="0" borderId="40" xfId="4" applyFont="1" applyBorder="1" applyAlignment="1">
      <alignment horizontal="center" vertical="center"/>
    </xf>
    <xf numFmtId="0" fontId="16" fillId="0" borderId="41" xfId="0" applyFont="1" applyBorder="1">
      <alignment vertical="center"/>
    </xf>
    <xf numFmtId="0" fontId="16" fillId="0" borderId="41" xfId="0" applyFont="1" applyBorder="1" applyAlignment="1">
      <alignment horizontal="center" vertical="center"/>
    </xf>
    <xf numFmtId="41" fontId="8" fillId="0" borderId="9" xfId="2" applyFont="1" applyBorder="1" applyAlignment="1">
      <alignment horizontal="center" vertical="center"/>
    </xf>
    <xf numFmtId="41" fontId="8" fillId="0" borderId="40" xfId="2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41" fontId="7" fillId="0" borderId="41" xfId="0" applyNumberFormat="1" applyFont="1" applyBorder="1">
      <alignment vertical="center"/>
    </xf>
    <xf numFmtId="0" fontId="7" fillId="0" borderId="25" xfId="0" applyFont="1" applyBorder="1">
      <alignment vertical="center"/>
    </xf>
    <xf numFmtId="0" fontId="7" fillId="0" borderId="22" xfId="0" applyFont="1" applyBorder="1">
      <alignment vertical="center"/>
    </xf>
    <xf numFmtId="0" fontId="17" fillId="0" borderId="11" xfId="0" applyFont="1" applyBorder="1" applyAlignment="1">
      <alignment horizontal="center" vertical="center"/>
    </xf>
    <xf numFmtId="0" fontId="16" fillId="0" borderId="24" xfId="0" applyFont="1" applyBorder="1" applyAlignment="1">
      <alignment horizontal="left" vertical="center"/>
    </xf>
    <xf numFmtId="0" fontId="7" fillId="4" borderId="22" xfId="0" applyFont="1" applyFill="1" applyBorder="1" applyAlignment="1">
      <alignment horizontal="left" vertical="center"/>
    </xf>
    <xf numFmtId="41" fontId="7" fillId="4" borderId="0" xfId="4" applyFont="1" applyFill="1">
      <alignment vertical="center"/>
    </xf>
    <xf numFmtId="0" fontId="7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7" fillId="4" borderId="0" xfId="0" quotePrefix="1" applyFont="1" applyFill="1" applyAlignment="1">
      <alignment horizontal="center" vertical="center"/>
    </xf>
    <xf numFmtId="0" fontId="7" fillId="4" borderId="28" xfId="0" applyFont="1" applyFill="1" applyBorder="1">
      <alignment vertical="center"/>
    </xf>
    <xf numFmtId="0" fontId="8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78" fontId="8" fillId="0" borderId="40" xfId="2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41" fontId="18" fillId="0" borderId="9" xfId="4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shrinkToFit="1"/>
    </xf>
    <xf numFmtId="41" fontId="8" fillId="0" borderId="10" xfId="2" applyFont="1" applyBorder="1" applyAlignment="1">
      <alignment horizontal="right" vertical="center"/>
    </xf>
    <xf numFmtId="41" fontId="8" fillId="0" borderId="36" xfId="2" applyFont="1" applyBorder="1" applyAlignment="1">
      <alignment horizontal="right" vertical="center"/>
    </xf>
    <xf numFmtId="41" fontId="8" fillId="0" borderId="10" xfId="4" applyFont="1" applyBorder="1" applyAlignment="1">
      <alignment horizontal="right" vertical="center"/>
    </xf>
    <xf numFmtId="0" fontId="7" fillId="0" borderId="8" xfId="0" applyFont="1" applyBorder="1" applyAlignment="1">
      <alignment horizontal="left" vertical="center"/>
    </xf>
    <xf numFmtId="41" fontId="7" fillId="0" borderId="41" xfId="2" applyFont="1" applyBorder="1">
      <alignment vertical="center"/>
    </xf>
    <xf numFmtId="0" fontId="9" fillId="0" borderId="41" xfId="0" applyFont="1" applyBorder="1" applyAlignment="1">
      <alignment horizontal="center" vertical="center"/>
    </xf>
    <xf numFmtId="0" fontId="7" fillId="0" borderId="41" xfId="0" quotePrefix="1" applyFont="1" applyBorder="1" applyAlignment="1">
      <alignment horizontal="center" vertical="center"/>
    </xf>
    <xf numFmtId="0" fontId="7" fillId="0" borderId="37" xfId="0" quotePrefix="1" applyFont="1" applyBorder="1" applyAlignment="1">
      <alignment horizontal="center" vertical="center"/>
    </xf>
    <xf numFmtId="41" fontId="17" fillId="0" borderId="10" xfId="2" applyFont="1" applyBorder="1" applyAlignment="1">
      <alignment horizontal="center" vertical="center"/>
    </xf>
    <xf numFmtId="41" fontId="16" fillId="0" borderId="37" xfId="4" applyFont="1" applyBorder="1">
      <alignment vertical="center"/>
    </xf>
    <xf numFmtId="0" fontId="16" fillId="0" borderId="38" xfId="0" applyFont="1" applyBorder="1">
      <alignment vertical="center"/>
    </xf>
    <xf numFmtId="41" fontId="8" fillId="0" borderId="9" xfId="4" applyFont="1" applyBorder="1" applyAlignment="1">
      <alignment horizontal="right" vertical="center"/>
    </xf>
    <xf numFmtId="41" fontId="8" fillId="0" borderId="9" xfId="4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41" fontId="8" fillId="0" borderId="0" xfId="2" applyFont="1" applyAlignment="1">
      <alignment horizontal="center" vertical="center"/>
    </xf>
    <xf numFmtId="3" fontId="8" fillId="0" borderId="0" xfId="2" applyNumberFormat="1" applyFont="1" applyAlignment="1">
      <alignment horizontal="right" vertical="center"/>
    </xf>
    <xf numFmtId="180" fontId="8" fillId="0" borderId="0" xfId="0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179" fontId="8" fillId="0" borderId="0" xfId="2" applyNumberFormat="1" applyFont="1">
      <alignment vertical="center"/>
    </xf>
    <xf numFmtId="0" fontId="10" fillId="0" borderId="0" xfId="0" applyFont="1" applyAlignment="1">
      <alignment horizontal="left" vertical="center"/>
    </xf>
    <xf numFmtId="41" fontId="18" fillId="0" borderId="0" xfId="2" applyFont="1">
      <alignment vertical="center"/>
    </xf>
    <xf numFmtId="41" fontId="14" fillId="0" borderId="0" xfId="2" applyFont="1" applyAlignment="1">
      <alignment horizontal="center" vertical="center"/>
    </xf>
    <xf numFmtId="178" fontId="14" fillId="0" borderId="0" xfId="2" applyNumberFormat="1" applyFont="1" applyAlignment="1">
      <alignment horizontal="right" vertical="center"/>
    </xf>
    <xf numFmtId="179" fontId="14" fillId="0" borderId="0" xfId="2" applyNumberFormat="1" applyFont="1">
      <alignment vertical="center"/>
    </xf>
    <xf numFmtId="41" fontId="15" fillId="0" borderId="45" xfId="2" applyFont="1" applyBorder="1" applyAlignment="1">
      <alignment horizontal="center" vertical="center"/>
    </xf>
    <xf numFmtId="41" fontId="15" fillId="0" borderId="46" xfId="2" applyFont="1" applyBorder="1" applyAlignment="1">
      <alignment horizontal="center" vertical="center"/>
    </xf>
    <xf numFmtId="41" fontId="15" fillId="2" borderId="47" xfId="4" applyFont="1" applyFill="1" applyBorder="1" applyAlignment="1">
      <alignment horizontal="center" vertical="center"/>
    </xf>
    <xf numFmtId="178" fontId="15" fillId="0" borderId="48" xfId="2" applyNumberFormat="1" applyFont="1" applyBorder="1" applyAlignment="1">
      <alignment horizontal="right" vertical="center"/>
    </xf>
    <xf numFmtId="179" fontId="15" fillId="0" borderId="48" xfId="2" applyNumberFormat="1" applyFont="1" applyBorder="1">
      <alignment vertical="center"/>
    </xf>
    <xf numFmtId="0" fontId="10" fillId="0" borderId="49" xfId="0" applyFont="1" applyBorder="1">
      <alignment vertical="center"/>
    </xf>
    <xf numFmtId="0" fontId="10" fillId="0" borderId="50" xfId="0" applyFont="1" applyBorder="1">
      <alignment vertical="center"/>
    </xf>
    <xf numFmtId="41" fontId="16" fillId="0" borderId="50" xfId="2" applyFont="1" applyBorder="1" applyAlignment="1">
      <alignment horizontal="center" vertical="center"/>
    </xf>
    <xf numFmtId="0" fontId="11" fillId="0" borderId="51" xfId="0" applyFont="1" applyBorder="1">
      <alignment vertical="center"/>
    </xf>
    <xf numFmtId="41" fontId="15" fillId="0" borderId="52" xfId="2" applyFont="1" applyBorder="1" applyAlignment="1">
      <alignment horizontal="center" vertical="center"/>
    </xf>
    <xf numFmtId="41" fontId="15" fillId="2" borderId="52" xfId="4" applyFont="1" applyFill="1" applyBorder="1" applyAlignment="1">
      <alignment horizontal="center" vertical="center"/>
    </xf>
    <xf numFmtId="178" fontId="15" fillId="0" borderId="52" xfId="2" applyNumberFormat="1" applyFont="1" applyBorder="1" applyAlignment="1">
      <alignment horizontal="right" vertical="center"/>
    </xf>
    <xf numFmtId="179" fontId="15" fillId="0" borderId="52" xfId="2" applyNumberFormat="1" applyFont="1" applyBorder="1">
      <alignment vertical="center"/>
    </xf>
    <xf numFmtId="0" fontId="10" fillId="0" borderId="21" xfId="0" applyFont="1" applyBorder="1" applyAlignment="1">
      <alignment horizontal="left" vertical="center"/>
    </xf>
    <xf numFmtId="41" fontId="7" fillId="0" borderId="53" xfId="2" applyFont="1" applyBorder="1">
      <alignment vertical="center"/>
    </xf>
    <xf numFmtId="0" fontId="7" fillId="0" borderId="53" xfId="0" applyFont="1" applyBorder="1">
      <alignment vertical="center"/>
    </xf>
    <xf numFmtId="0" fontId="7" fillId="0" borderId="53" xfId="0" applyFont="1" applyBorder="1" applyAlignment="1">
      <alignment horizontal="center" vertical="center"/>
    </xf>
    <xf numFmtId="41" fontId="16" fillId="0" borderId="53" xfId="2" applyFont="1" applyBorder="1">
      <alignment vertical="center"/>
    </xf>
    <xf numFmtId="0" fontId="16" fillId="0" borderId="54" xfId="0" applyFont="1" applyBorder="1">
      <alignment vertical="center"/>
    </xf>
    <xf numFmtId="41" fontId="8" fillId="0" borderId="2" xfId="2" applyFont="1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41" fontId="15" fillId="0" borderId="23" xfId="2" applyFont="1" applyBorder="1" applyAlignment="1">
      <alignment horizontal="center" vertical="center"/>
    </xf>
    <xf numFmtId="41" fontId="15" fillId="2" borderId="23" xfId="4" applyFont="1" applyFill="1" applyBorder="1" applyAlignment="1">
      <alignment horizontal="center" vertical="center"/>
    </xf>
    <xf numFmtId="178" fontId="15" fillId="0" borderId="23" xfId="2" applyNumberFormat="1" applyFont="1" applyBorder="1" applyAlignment="1">
      <alignment horizontal="right" vertical="center"/>
    </xf>
    <xf numFmtId="179" fontId="15" fillId="0" borderId="23" xfId="2" applyNumberFormat="1" applyFont="1" applyBorder="1">
      <alignment vertical="center"/>
    </xf>
    <xf numFmtId="0" fontId="10" fillId="0" borderId="22" xfId="0" applyFont="1" applyBorder="1" applyAlignment="1">
      <alignment horizontal="left" vertical="center"/>
    </xf>
    <xf numFmtId="41" fontId="7" fillId="0" borderId="25" xfId="2" applyFont="1" applyBorder="1">
      <alignment vertical="center"/>
    </xf>
    <xf numFmtId="41" fontId="20" fillId="3" borderId="55" xfId="2" applyFont="1" applyFill="1" applyBorder="1" applyAlignment="1">
      <alignment horizontal="center" vertical="distributed"/>
    </xf>
    <xf numFmtId="41" fontId="21" fillId="3" borderId="55" xfId="2" applyFont="1" applyFill="1" applyBorder="1" applyAlignment="1">
      <alignment horizontal="center" vertical="distributed"/>
    </xf>
    <xf numFmtId="41" fontId="21" fillId="3" borderId="0" xfId="2" applyFont="1" applyFill="1" applyAlignment="1">
      <alignment horizontal="center" vertical="distributed"/>
    </xf>
    <xf numFmtId="0" fontId="7" fillId="0" borderId="57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shrinkToFit="1"/>
    </xf>
    <xf numFmtId="0" fontId="17" fillId="0" borderId="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7" fillId="0" borderId="17" xfId="0" applyFont="1" applyBorder="1">
      <alignment vertical="center"/>
    </xf>
    <xf numFmtId="0" fontId="16" fillId="0" borderId="37" xfId="0" applyFont="1" applyBorder="1" applyAlignment="1">
      <alignment horizontal="left" vertical="center"/>
    </xf>
    <xf numFmtId="0" fontId="17" fillId="0" borderId="24" xfId="0" applyFont="1" applyBorder="1" applyAlignment="1">
      <alignment horizontal="center" vertical="center"/>
    </xf>
    <xf numFmtId="41" fontId="17" fillId="0" borderId="56" xfId="2" applyFont="1" applyBorder="1" applyAlignment="1">
      <alignment horizontal="center" vertical="center"/>
    </xf>
    <xf numFmtId="41" fontId="17" fillId="2" borderId="56" xfId="4" applyFont="1" applyFill="1" applyBorder="1" applyAlignment="1">
      <alignment horizontal="center" vertical="center"/>
    </xf>
    <xf numFmtId="178" fontId="17" fillId="0" borderId="56" xfId="2" applyNumberFormat="1" applyFont="1" applyBorder="1" applyAlignment="1">
      <alignment horizontal="right" vertical="center"/>
    </xf>
    <xf numFmtId="179" fontId="17" fillId="0" borderId="56" xfId="2" applyNumberFormat="1" applyFont="1" applyBorder="1">
      <alignment vertical="center"/>
    </xf>
    <xf numFmtId="9" fontId="8" fillId="0" borderId="4" xfId="1" applyFont="1" applyBorder="1" applyAlignment="1">
      <alignment horizontal="center" vertical="center"/>
    </xf>
    <xf numFmtId="0" fontId="16" fillId="0" borderId="57" xfId="0" applyFont="1" applyBorder="1" applyAlignment="1">
      <alignment horizontal="left" vertical="center"/>
    </xf>
    <xf numFmtId="41" fontId="16" fillId="0" borderId="37" xfId="2" applyFont="1" applyBorder="1">
      <alignment vertical="center"/>
    </xf>
    <xf numFmtId="0" fontId="7" fillId="0" borderId="2" xfId="0" applyFont="1" applyBorder="1">
      <alignment vertical="center"/>
    </xf>
    <xf numFmtId="0" fontId="7" fillId="0" borderId="4" xfId="0" applyFont="1" applyBorder="1">
      <alignment vertical="center"/>
    </xf>
    <xf numFmtId="41" fontId="10" fillId="0" borderId="0" xfId="2" applyFont="1">
      <alignment vertical="center"/>
    </xf>
    <xf numFmtId="41" fontId="17" fillId="0" borderId="23" xfId="2" applyFont="1" applyBorder="1" applyAlignment="1">
      <alignment horizontal="center" vertical="center"/>
    </xf>
    <xf numFmtId="41" fontId="17" fillId="2" borderId="23" xfId="4" applyFont="1" applyFill="1" applyBorder="1" applyAlignment="1">
      <alignment horizontal="center" vertical="center"/>
    </xf>
    <xf numFmtId="178" fontId="17" fillId="0" borderId="23" xfId="2" applyNumberFormat="1" applyFont="1" applyBorder="1" applyAlignment="1">
      <alignment horizontal="right" vertical="center"/>
    </xf>
    <xf numFmtId="179" fontId="17" fillId="0" borderId="23" xfId="2" applyNumberFormat="1" applyFont="1" applyBorder="1">
      <alignment vertical="center"/>
    </xf>
    <xf numFmtId="0" fontId="7" fillId="0" borderId="30" xfId="0" applyFont="1" applyBorder="1" applyAlignment="1">
      <alignment horizontal="left" vertical="center" shrinkToFit="1"/>
    </xf>
    <xf numFmtId="0" fontId="7" fillId="0" borderId="57" xfId="0" applyFont="1" applyBorder="1" applyAlignment="1">
      <alignment horizontal="left" vertical="center" shrinkToFit="1"/>
    </xf>
    <xf numFmtId="41" fontId="17" fillId="0" borderId="27" xfId="2" applyFont="1" applyBorder="1" applyAlignment="1">
      <alignment horizontal="center" vertical="center"/>
    </xf>
    <xf numFmtId="41" fontId="17" fillId="0" borderId="58" xfId="2" applyFont="1" applyBorder="1" applyAlignment="1">
      <alignment horizontal="center" vertical="center"/>
    </xf>
    <xf numFmtId="41" fontId="17" fillId="2" borderId="58" xfId="4" applyFont="1" applyFill="1" applyBorder="1" applyAlignment="1">
      <alignment horizontal="center" vertical="center"/>
    </xf>
    <xf numFmtId="178" fontId="17" fillId="0" borderId="58" xfId="2" applyNumberFormat="1" applyFont="1" applyBorder="1" applyAlignment="1">
      <alignment horizontal="right" vertical="center"/>
    </xf>
    <xf numFmtId="179" fontId="17" fillId="0" borderId="58" xfId="2" applyNumberFormat="1" applyFont="1" applyBorder="1">
      <alignment vertical="center"/>
    </xf>
    <xf numFmtId="0" fontId="7" fillId="0" borderId="59" xfId="0" applyFont="1" applyBorder="1" applyAlignment="1">
      <alignment horizontal="left" vertical="center"/>
    </xf>
    <xf numFmtId="41" fontId="7" fillId="0" borderId="60" xfId="2" applyFont="1" applyBorder="1">
      <alignment vertical="center"/>
    </xf>
    <xf numFmtId="0" fontId="7" fillId="0" borderId="60" xfId="0" applyFont="1" applyBorder="1">
      <alignment vertical="center"/>
    </xf>
    <xf numFmtId="0" fontId="7" fillId="0" borderId="60" xfId="0" applyFont="1" applyBorder="1" applyAlignment="1">
      <alignment horizontal="center" vertical="center"/>
    </xf>
    <xf numFmtId="0" fontId="7" fillId="0" borderId="61" xfId="0" applyFont="1" applyBorder="1">
      <alignment vertical="center"/>
    </xf>
    <xf numFmtId="0" fontId="16" fillId="0" borderId="10" xfId="0" applyFont="1" applyBorder="1" applyAlignment="1">
      <alignment vertical="center" shrinkToFit="1"/>
    </xf>
    <xf numFmtId="41" fontId="18" fillId="2" borderId="62" xfId="4" applyFont="1" applyFill="1" applyBorder="1" applyAlignment="1">
      <alignment horizontal="center" vertical="center"/>
    </xf>
    <xf numFmtId="0" fontId="7" fillId="0" borderId="41" xfId="0" applyFont="1" applyBorder="1" applyAlignment="1">
      <alignment horizontal="left" vertical="center"/>
    </xf>
    <xf numFmtId="0" fontId="16" fillId="0" borderId="4" xfId="0" applyFont="1" applyBorder="1" applyAlignment="1">
      <alignment vertical="center" shrinkToFit="1"/>
    </xf>
    <xf numFmtId="41" fontId="17" fillId="0" borderId="2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shrinkToFit="1"/>
    </xf>
    <xf numFmtId="0" fontId="18" fillId="0" borderId="42" xfId="0" applyFont="1" applyBorder="1" applyAlignment="1">
      <alignment horizontal="center" vertical="center" wrapText="1"/>
    </xf>
    <xf numFmtId="41" fontId="8" fillId="0" borderId="48" xfId="2" applyFont="1" applyBorder="1">
      <alignment vertical="center"/>
    </xf>
    <xf numFmtId="41" fontId="8" fillId="2" borderId="48" xfId="4" applyFont="1" applyFill="1" applyBorder="1">
      <alignment vertical="center"/>
    </xf>
    <xf numFmtId="0" fontId="7" fillId="0" borderId="63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 shrinkToFit="1"/>
    </xf>
    <xf numFmtId="41" fontId="8" fillId="2" borderId="56" xfId="4" applyFont="1" applyFill="1" applyBorder="1">
      <alignment vertical="center"/>
    </xf>
    <xf numFmtId="0" fontId="16" fillId="0" borderId="10" xfId="0" applyFont="1" applyBorder="1" applyAlignment="1">
      <alignment horizontal="center" vertical="center" shrinkToFit="1"/>
    </xf>
    <xf numFmtId="179" fontId="8" fillId="0" borderId="23" xfId="4" applyNumberFormat="1" applyFont="1" applyBorder="1" applyAlignment="1">
      <alignment vertical="center" shrinkToFit="1"/>
    </xf>
    <xf numFmtId="0" fontId="8" fillId="0" borderId="4" xfId="0" applyFont="1" applyBorder="1" applyAlignment="1">
      <alignment horizontal="center" vertical="center" wrapText="1"/>
    </xf>
    <xf numFmtId="0" fontId="8" fillId="0" borderId="56" xfId="0" applyFont="1" applyBorder="1">
      <alignment vertical="center"/>
    </xf>
    <xf numFmtId="0" fontId="7" fillId="0" borderId="57" xfId="0" applyFont="1" applyBorder="1">
      <alignment vertical="center"/>
    </xf>
    <xf numFmtId="0" fontId="8" fillId="0" borderId="23" xfId="0" applyFont="1" applyBorder="1">
      <alignment vertical="center"/>
    </xf>
    <xf numFmtId="41" fontId="17" fillId="0" borderId="17" xfId="2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41" fontId="8" fillId="0" borderId="17" xfId="2" applyFont="1" applyBorder="1" applyAlignment="1">
      <alignment horizontal="center" vertical="center"/>
    </xf>
    <xf numFmtId="0" fontId="17" fillId="0" borderId="17" xfId="0" applyFont="1" applyBorder="1">
      <alignment vertical="center"/>
    </xf>
    <xf numFmtId="41" fontId="16" fillId="0" borderId="41" xfId="2" applyFont="1" applyBorder="1">
      <alignment vertical="center"/>
    </xf>
    <xf numFmtId="0" fontId="8" fillId="0" borderId="2" xfId="0" applyFont="1" applyBorder="1">
      <alignment vertical="center"/>
    </xf>
    <xf numFmtId="0" fontId="8" fillId="0" borderId="4" xfId="0" applyFont="1" applyBorder="1">
      <alignment vertical="center"/>
    </xf>
    <xf numFmtId="179" fontId="17" fillId="0" borderId="62" xfId="2" applyNumberFormat="1" applyFont="1" applyBorder="1">
      <alignment vertical="center"/>
    </xf>
    <xf numFmtId="41" fontId="17" fillId="0" borderId="11" xfId="2" applyFont="1" applyBorder="1" applyAlignment="1">
      <alignment horizontal="center" vertical="center"/>
    </xf>
    <xf numFmtId="41" fontId="17" fillId="0" borderId="62" xfId="2" applyFont="1" applyBorder="1" applyAlignment="1">
      <alignment horizontal="center" vertical="center"/>
    </xf>
    <xf numFmtId="41" fontId="17" fillId="2" borderId="62" xfId="4" applyFont="1" applyFill="1" applyBorder="1" applyAlignment="1">
      <alignment horizontal="center" vertical="center"/>
    </xf>
    <xf numFmtId="178" fontId="17" fillId="0" borderId="62" xfId="2" applyNumberFormat="1" applyFont="1" applyBorder="1" applyAlignment="1">
      <alignment horizontal="right" vertical="center"/>
    </xf>
    <xf numFmtId="41" fontId="8" fillId="0" borderId="62" xfId="2" applyFont="1" applyBorder="1">
      <alignment vertical="center"/>
    </xf>
    <xf numFmtId="41" fontId="8" fillId="2" borderId="62" xfId="2" applyFont="1" applyFill="1" applyBorder="1" applyAlignment="1">
      <alignment horizontal="center" vertical="center"/>
    </xf>
    <xf numFmtId="0" fontId="7" fillId="0" borderId="17" xfId="6" applyFont="1" applyBorder="1" applyAlignment="1">
      <alignment horizontal="left" vertical="center"/>
    </xf>
    <xf numFmtId="0" fontId="7" fillId="0" borderId="7" xfId="0" applyFont="1" applyBorder="1" applyAlignment="1">
      <alignment horizontal="center" vertical="center" shrinkToFit="1"/>
    </xf>
    <xf numFmtId="0" fontId="7" fillId="0" borderId="28" xfId="6" applyFont="1" applyBorder="1">
      <alignment vertical="center"/>
    </xf>
    <xf numFmtId="41" fontId="8" fillId="2" borderId="48" xfId="2" applyFont="1" applyFill="1" applyBorder="1" applyAlignment="1">
      <alignment horizontal="center" vertical="center"/>
    </xf>
    <xf numFmtId="0" fontId="7" fillId="0" borderId="20" xfId="6" applyFont="1" applyBorder="1">
      <alignment vertical="center"/>
    </xf>
    <xf numFmtId="0" fontId="7" fillId="0" borderId="17" xfId="6" applyFont="1" applyBorder="1" applyAlignment="1">
      <alignment horizontal="left" vertical="center" shrinkToFit="1"/>
    </xf>
    <xf numFmtId="41" fontId="8" fillId="2" borderId="56" xfId="2" applyFont="1" applyFill="1" applyBorder="1" applyAlignment="1">
      <alignment horizontal="center" vertical="center"/>
    </xf>
    <xf numFmtId="41" fontId="8" fillId="2" borderId="23" xfId="2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shrinkToFit="1"/>
    </xf>
    <xf numFmtId="0" fontId="7" fillId="0" borderId="30" xfId="6" applyFont="1" applyBorder="1" applyAlignment="1">
      <alignment horizontal="left" vertical="center"/>
    </xf>
    <xf numFmtId="0" fontId="7" fillId="0" borderId="29" xfId="6" applyFont="1" applyBorder="1">
      <alignment vertical="center"/>
    </xf>
    <xf numFmtId="0" fontId="9" fillId="0" borderId="29" xfId="6" applyFont="1" applyBorder="1" applyAlignment="1">
      <alignment horizontal="center" vertical="center"/>
    </xf>
    <xf numFmtId="0" fontId="7" fillId="0" borderId="29" xfId="6" applyFont="1" applyBorder="1" applyAlignment="1">
      <alignment horizontal="center" vertical="center"/>
    </xf>
    <xf numFmtId="0" fontId="7" fillId="0" borderId="29" xfId="6" quotePrefix="1" applyFont="1" applyBorder="1" applyAlignment="1">
      <alignment horizontal="center" vertical="center"/>
    </xf>
    <xf numFmtId="41" fontId="17" fillId="0" borderId="62" xfId="2" applyFont="1" applyBorder="1" applyAlignment="1">
      <alignment vertical="center" wrapText="1"/>
    </xf>
    <xf numFmtId="41" fontId="17" fillId="0" borderId="56" xfId="2" applyFont="1" applyBorder="1" applyAlignment="1">
      <alignment vertical="center" wrapText="1"/>
    </xf>
    <xf numFmtId="178" fontId="17" fillId="0" borderId="56" xfId="2" applyNumberFormat="1" applyFont="1" applyBorder="1" applyAlignment="1">
      <alignment horizontal="right" vertical="center" wrapText="1"/>
    </xf>
    <xf numFmtId="179" fontId="17" fillId="0" borderId="56" xfId="2" applyNumberFormat="1" applyFont="1" applyBorder="1" applyAlignment="1">
      <alignment vertical="center" wrapText="1"/>
    </xf>
    <xf numFmtId="41" fontId="8" fillId="0" borderId="56" xfId="2" applyFont="1" applyBorder="1">
      <alignment vertical="center"/>
    </xf>
    <xf numFmtId="0" fontId="7" fillId="0" borderId="17" xfId="0" applyFont="1" applyBorder="1" applyAlignment="1">
      <alignment vertical="center" wrapText="1"/>
    </xf>
    <xf numFmtId="41" fontId="8" fillId="0" borderId="23" xfId="2" applyFont="1" applyBorder="1">
      <alignment vertical="center"/>
    </xf>
    <xf numFmtId="0" fontId="7" fillId="0" borderId="22" xfId="0" applyFont="1" applyBorder="1" applyAlignment="1">
      <alignment vertical="center" wrapText="1"/>
    </xf>
    <xf numFmtId="0" fontId="7" fillId="0" borderId="42" xfId="0" applyFont="1" applyBorder="1" applyAlignment="1">
      <alignment vertical="center" wrapText="1"/>
    </xf>
    <xf numFmtId="41" fontId="7" fillId="0" borderId="29" xfId="2" applyFont="1" applyBorder="1" applyAlignment="1">
      <alignment vertical="center" shrinkToFit="1"/>
    </xf>
    <xf numFmtId="41" fontId="8" fillId="0" borderId="38" xfId="2" applyFont="1" applyBorder="1">
      <alignment vertical="center"/>
    </xf>
    <xf numFmtId="0" fontId="17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179" fontId="8" fillId="0" borderId="0" xfId="2" applyNumberFormat="1" applyFont="1" applyAlignment="1">
      <alignment horizontal="right" vertical="center"/>
    </xf>
    <xf numFmtId="41" fontId="8" fillId="0" borderId="0" xfId="0" applyNumberFormat="1" applyFont="1" applyAlignment="1">
      <alignment horizontal="left" vertical="center"/>
    </xf>
    <xf numFmtId="43" fontId="7" fillId="0" borderId="0" xfId="0" applyNumberFormat="1" applyFont="1" applyAlignment="1">
      <alignment horizontal="left" vertical="center"/>
    </xf>
    <xf numFmtId="41" fontId="10" fillId="0" borderId="0" xfId="0" applyNumberFormat="1" applyFont="1" applyAlignment="1">
      <alignment horizontal="left" vertical="center"/>
    </xf>
    <xf numFmtId="0" fontId="16" fillId="0" borderId="63" xfId="0" applyFont="1" applyBorder="1" applyAlignment="1">
      <alignment horizontal="left" vertical="center"/>
    </xf>
    <xf numFmtId="41" fontId="7" fillId="0" borderId="41" xfId="4" applyFont="1" applyBorder="1">
      <alignment vertical="center"/>
    </xf>
    <xf numFmtId="41" fontId="8" fillId="2" borderId="63" xfId="4" applyFont="1" applyFill="1" applyBorder="1" applyAlignment="1">
      <alignment horizontal="center" vertical="center"/>
    </xf>
    <xf numFmtId="41" fontId="8" fillId="0" borderId="40" xfId="4" applyFont="1" applyBorder="1" applyAlignment="1">
      <alignment horizontal="center" vertical="center"/>
    </xf>
    <xf numFmtId="41" fontId="8" fillId="0" borderId="0" xfId="4" applyFont="1">
      <alignment vertical="center"/>
    </xf>
    <xf numFmtId="0" fontId="7" fillId="0" borderId="42" xfId="0" applyFont="1" applyBorder="1" applyAlignment="1">
      <alignment horizontal="left" vertical="center"/>
    </xf>
    <xf numFmtId="41" fontId="7" fillId="0" borderId="29" xfId="0" applyNumberFormat="1" applyFont="1" applyBorder="1">
      <alignment vertical="center"/>
    </xf>
    <xf numFmtId="0" fontId="10" fillId="0" borderId="15" xfId="0" applyFont="1" applyBorder="1" applyAlignment="1">
      <alignment horizontal="center" vertical="center"/>
    </xf>
    <xf numFmtId="41" fontId="17" fillId="0" borderId="16" xfId="2" applyFont="1" applyBorder="1" applyAlignment="1">
      <alignment horizontal="center" vertical="center"/>
    </xf>
    <xf numFmtId="0" fontId="7" fillId="0" borderId="29" xfId="0" applyFont="1" applyBorder="1" applyAlignment="1">
      <alignment horizontal="left" vertical="center" shrinkToFit="1"/>
    </xf>
    <xf numFmtId="0" fontId="10" fillId="0" borderId="29" xfId="0" applyFont="1" applyBorder="1" applyAlignment="1">
      <alignment horizontal="left" vertical="center"/>
    </xf>
    <xf numFmtId="0" fontId="16" fillId="0" borderId="22" xfId="0" applyFont="1" applyBorder="1" applyAlignment="1">
      <alignment horizontal="left" vertical="center"/>
    </xf>
    <xf numFmtId="0" fontId="16" fillId="0" borderId="0" xfId="0" quotePrefix="1" applyFont="1" applyAlignment="1">
      <alignment horizontal="center" vertical="center"/>
    </xf>
    <xf numFmtId="0" fontId="7" fillId="0" borderId="30" xfId="0" applyFont="1" applyBorder="1">
      <alignment vertical="center"/>
    </xf>
    <xf numFmtId="0" fontId="7" fillId="0" borderId="37" xfId="6" applyFont="1" applyBorder="1">
      <alignment vertical="center"/>
    </xf>
    <xf numFmtId="0" fontId="9" fillId="0" borderId="37" xfId="6" applyFont="1" applyBorder="1" applyAlignment="1">
      <alignment horizontal="center" vertical="center"/>
    </xf>
    <xf numFmtId="0" fontId="7" fillId="0" borderId="37" xfId="6" applyFont="1" applyBorder="1" applyAlignment="1">
      <alignment horizontal="center" vertical="center"/>
    </xf>
    <xf numFmtId="0" fontId="7" fillId="0" borderId="37" xfId="6" quotePrefix="1" applyFont="1" applyBorder="1" applyAlignment="1">
      <alignment horizontal="center" vertical="center"/>
    </xf>
    <xf numFmtId="0" fontId="7" fillId="0" borderId="38" xfId="6" applyFont="1" applyBorder="1">
      <alignment vertical="center"/>
    </xf>
    <xf numFmtId="178" fontId="17" fillId="0" borderId="40" xfId="4" applyNumberFormat="1" applyFont="1" applyBorder="1" applyAlignment="1">
      <alignment horizontal="center" vertical="center"/>
    </xf>
    <xf numFmtId="178" fontId="17" fillId="0" borderId="9" xfId="2" applyNumberFormat="1" applyFont="1" applyBorder="1" applyAlignment="1">
      <alignment horizontal="right" vertical="center"/>
    </xf>
    <xf numFmtId="178" fontId="18" fillId="0" borderId="40" xfId="4" applyNumberFormat="1" applyFont="1" applyBorder="1" applyAlignment="1">
      <alignment horizontal="center" vertical="center"/>
    </xf>
    <xf numFmtId="178" fontId="8" fillId="0" borderId="9" xfId="2" applyNumberFormat="1" applyFont="1" applyBorder="1" applyAlignment="1">
      <alignment horizontal="right" vertical="center"/>
    </xf>
    <xf numFmtId="178" fontId="17" fillId="0" borderId="40" xfId="2" applyNumberFormat="1" applyFont="1" applyBorder="1" applyAlignment="1">
      <alignment horizontal="right" vertical="center"/>
    </xf>
    <xf numFmtId="179" fontId="15" fillId="0" borderId="45" xfId="2" applyNumberFormat="1" applyFont="1" applyBorder="1" applyAlignment="1">
      <alignment horizontal="center" vertical="center"/>
    </xf>
    <xf numFmtId="179" fontId="7" fillId="0" borderId="62" xfId="2" applyNumberFormat="1" applyFont="1" applyBorder="1" applyAlignment="1">
      <alignment horizontal="right" vertical="center"/>
    </xf>
    <xf numFmtId="185" fontId="8" fillId="0" borderId="56" xfId="2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 shrinkToFit="1"/>
    </xf>
    <xf numFmtId="0" fontId="16" fillId="0" borderId="4" xfId="0" applyFont="1" applyBorder="1" applyAlignment="1">
      <alignment vertical="center" wrapText="1"/>
    </xf>
    <xf numFmtId="41" fontId="7" fillId="0" borderId="0" xfId="4" applyFont="1" applyAlignment="1">
      <alignment horizontal="center" vertical="center"/>
    </xf>
    <xf numFmtId="0" fontId="7" fillId="0" borderId="6" xfId="0" quotePrefix="1" applyFont="1" applyBorder="1" applyAlignment="1">
      <alignment horizontal="left" vertical="center" shrinkToFit="1"/>
    </xf>
    <xf numFmtId="41" fontId="7" fillId="0" borderId="6" xfId="4" applyFont="1" applyBorder="1">
      <alignment vertical="center"/>
    </xf>
    <xf numFmtId="0" fontId="7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7" fillId="0" borderId="43" xfId="0" applyFont="1" applyBorder="1">
      <alignment vertical="center"/>
    </xf>
    <xf numFmtId="0" fontId="10" fillId="0" borderId="22" xfId="0" applyFont="1" applyBorder="1" applyAlignment="1">
      <alignment horizontal="left" vertical="center" shrinkToFit="1"/>
    </xf>
    <xf numFmtId="0" fontId="10" fillId="0" borderId="8" xfId="0" applyFont="1" applyBorder="1" applyAlignment="1">
      <alignment vertical="center" shrinkToFit="1"/>
    </xf>
    <xf numFmtId="178" fontId="7" fillId="0" borderId="29" xfId="4" applyNumberFormat="1" applyFont="1" applyBorder="1">
      <alignment vertical="center"/>
    </xf>
    <xf numFmtId="0" fontId="7" fillId="0" borderId="17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41" fontId="7" fillId="0" borderId="0" xfId="4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41" fontId="7" fillId="0" borderId="0" xfId="2" applyFont="1" applyBorder="1">
      <alignment vertical="center"/>
    </xf>
    <xf numFmtId="0" fontId="7" fillId="0" borderId="0" xfId="6" applyFont="1" applyBorder="1">
      <alignment vertical="center"/>
    </xf>
    <xf numFmtId="0" fontId="9" fillId="0" borderId="0" xfId="6" applyFont="1" applyBorder="1" applyAlignment="1">
      <alignment horizontal="center" vertical="center"/>
    </xf>
    <xf numFmtId="0" fontId="7" fillId="0" borderId="0" xfId="6" applyFont="1" applyBorder="1" applyAlignment="1">
      <alignment horizontal="center" vertical="center"/>
    </xf>
    <xf numFmtId="0" fontId="7" fillId="0" borderId="0" xfId="6" quotePrefix="1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178" fontId="7" fillId="0" borderId="0" xfId="2" applyNumberFormat="1" applyFont="1" applyBorder="1">
      <alignment vertical="center"/>
    </xf>
    <xf numFmtId="0" fontId="7" fillId="0" borderId="0" xfId="0" applyFont="1" applyBorder="1" applyAlignment="1">
      <alignment horizontal="left" vertical="center"/>
    </xf>
    <xf numFmtId="3" fontId="7" fillId="0" borderId="0" xfId="0" applyNumberFormat="1" applyFont="1" applyBorder="1">
      <alignment vertical="center"/>
    </xf>
    <xf numFmtId="0" fontId="10" fillId="0" borderId="0" xfId="0" applyFont="1" applyBorder="1" applyAlignment="1">
      <alignment horizontal="left" vertical="center"/>
    </xf>
    <xf numFmtId="41" fontId="7" fillId="0" borderId="0" xfId="0" applyNumberFormat="1" applyFont="1" applyBorder="1">
      <alignment vertical="center"/>
    </xf>
    <xf numFmtId="0" fontId="7" fillId="0" borderId="0" xfId="0" applyFont="1" applyBorder="1" applyAlignment="1">
      <alignment horizontal="left" vertical="center" wrapText="1"/>
    </xf>
    <xf numFmtId="41" fontId="16" fillId="0" borderId="0" xfId="2" applyFont="1" applyBorder="1">
      <alignment vertical="center"/>
    </xf>
    <xf numFmtId="0" fontId="7" fillId="0" borderId="0" xfId="0" applyFont="1" applyBorder="1" applyAlignment="1">
      <alignment horizontal="left" vertical="center" shrinkToFit="1"/>
    </xf>
    <xf numFmtId="178" fontId="7" fillId="0" borderId="0" xfId="4" applyNumberFormat="1" applyFont="1" applyBorder="1">
      <alignment vertical="center"/>
    </xf>
    <xf numFmtId="41" fontId="16" fillId="0" borderId="0" xfId="4" applyFont="1" applyBorder="1">
      <alignment vertical="center"/>
    </xf>
    <xf numFmtId="0" fontId="16" fillId="0" borderId="0" xfId="0" applyFont="1" applyBorder="1">
      <alignment vertical="center"/>
    </xf>
    <xf numFmtId="0" fontId="22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quotePrefix="1" applyFont="1" applyBorder="1" applyAlignment="1">
      <alignment horizontal="center" vertical="center"/>
    </xf>
    <xf numFmtId="0" fontId="7" fillId="0" borderId="0" xfId="0" applyFont="1" applyBorder="1" applyAlignment="1">
      <alignment horizontal="left" vertical="top" wrapText="1"/>
    </xf>
    <xf numFmtId="41" fontId="8" fillId="0" borderId="12" xfId="2" applyFont="1" applyBorder="1" applyAlignment="1">
      <alignment horizontal="center" vertical="center"/>
    </xf>
    <xf numFmtId="41" fontId="8" fillId="0" borderId="43" xfId="2" applyFont="1" applyBorder="1">
      <alignment vertical="center"/>
    </xf>
    <xf numFmtId="0" fontId="7" fillId="0" borderId="73" xfId="0" applyFont="1" applyBorder="1" applyAlignment="1">
      <alignment horizontal="left" vertical="center" shrinkToFit="1"/>
    </xf>
    <xf numFmtId="0" fontId="7" fillId="0" borderId="6" xfId="0" applyFont="1" applyBorder="1">
      <alignment vertical="center"/>
    </xf>
    <xf numFmtId="41" fontId="7" fillId="0" borderId="6" xfId="0" applyNumberFormat="1" applyFont="1" applyBorder="1">
      <alignment vertical="center"/>
    </xf>
    <xf numFmtId="0" fontId="7" fillId="0" borderId="30" xfId="6" applyFont="1" applyBorder="1" applyAlignment="1">
      <alignment horizontal="left" vertical="center" shrinkToFit="1"/>
    </xf>
    <xf numFmtId="41" fontId="8" fillId="0" borderId="10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41" fontId="8" fillId="0" borderId="35" xfId="2" applyFont="1" applyBorder="1" applyAlignment="1">
      <alignment horizontal="center" vertical="center"/>
    </xf>
    <xf numFmtId="41" fontId="8" fillId="0" borderId="39" xfId="2" applyFont="1" applyBorder="1" applyAlignment="1">
      <alignment horizontal="center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10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1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41" fontId="8" fillId="0" borderId="14" xfId="4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179" fontId="8" fillId="0" borderId="56" xfId="4" applyNumberFormat="1" applyFont="1" applyBorder="1">
      <alignment vertical="center"/>
    </xf>
    <xf numFmtId="41" fontId="8" fillId="0" borderId="56" xfId="4" applyFont="1" applyBorder="1" applyAlignment="1">
      <alignment horizontal="center" vertical="center"/>
    </xf>
    <xf numFmtId="41" fontId="8" fillId="0" borderId="23" xfId="4" applyFont="1" applyBorder="1" applyAlignment="1">
      <alignment horizontal="center" vertical="center"/>
    </xf>
    <xf numFmtId="41" fontId="8" fillId="2" borderId="56" xfId="4" applyFont="1" applyFill="1" applyBorder="1" applyAlignment="1">
      <alignment horizontal="center" vertical="center"/>
    </xf>
    <xf numFmtId="41" fontId="8" fillId="2" borderId="48" xfId="4" applyFont="1" applyFill="1" applyBorder="1" applyAlignment="1">
      <alignment horizontal="center" vertical="center"/>
    </xf>
    <xf numFmtId="41" fontId="8" fillId="2" borderId="23" xfId="4" applyFont="1" applyFill="1" applyBorder="1" applyAlignment="1">
      <alignment horizontal="center" vertical="center"/>
    </xf>
    <xf numFmtId="178" fontId="8" fillId="0" borderId="56" xfId="4" applyNumberFormat="1" applyFont="1" applyBorder="1" applyAlignment="1">
      <alignment horizontal="right" vertical="center"/>
    </xf>
    <xf numFmtId="178" fontId="8" fillId="0" borderId="23" xfId="4" applyNumberFormat="1" applyFont="1" applyBorder="1" applyAlignment="1">
      <alignment horizontal="right" vertical="center"/>
    </xf>
    <xf numFmtId="41" fontId="8" fillId="2" borderId="62" xfId="4" applyFont="1" applyFill="1" applyBorder="1" applyAlignment="1">
      <alignment horizontal="center" vertical="center"/>
    </xf>
    <xf numFmtId="41" fontId="8" fillId="0" borderId="62" xfId="4" applyFont="1" applyBorder="1" applyAlignment="1">
      <alignment horizontal="center" vertical="center"/>
    </xf>
    <xf numFmtId="178" fontId="8" fillId="0" borderId="62" xfId="4" applyNumberFormat="1" applyFont="1" applyBorder="1" applyAlignment="1">
      <alignment horizontal="right" vertical="center"/>
    </xf>
    <xf numFmtId="179" fontId="8" fillId="0" borderId="56" xfId="2" applyNumberFormat="1" applyFont="1" applyBorder="1">
      <alignment vertical="center"/>
    </xf>
    <xf numFmtId="179" fontId="8" fillId="0" borderId="23" xfId="2" applyNumberFormat="1" applyFont="1" applyBorder="1">
      <alignment vertical="center"/>
    </xf>
    <xf numFmtId="178" fontId="8" fillId="0" borderId="56" xfId="2" applyNumberFormat="1" applyFont="1" applyBorder="1" applyAlignment="1">
      <alignment horizontal="right" vertical="center"/>
    </xf>
    <xf numFmtId="178" fontId="8" fillId="0" borderId="23" xfId="2" applyNumberFormat="1" applyFont="1" applyBorder="1" applyAlignment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9" fontId="8" fillId="0" borderId="48" xfId="2" applyNumberFormat="1" applyFont="1" applyBorder="1">
      <alignment vertical="center"/>
    </xf>
    <xf numFmtId="41" fontId="8" fillId="0" borderId="56" xfId="2" applyFont="1" applyBorder="1" applyAlignment="1">
      <alignment horizontal="center" vertical="center"/>
    </xf>
    <xf numFmtId="41" fontId="8" fillId="0" borderId="23" xfId="2" applyFont="1" applyBorder="1" applyAlignment="1">
      <alignment horizontal="center" vertical="center"/>
    </xf>
    <xf numFmtId="41" fontId="8" fillId="0" borderId="48" xfId="2" applyFont="1" applyBorder="1" applyAlignment="1">
      <alignment horizontal="center" vertical="center"/>
    </xf>
    <xf numFmtId="41" fontId="8" fillId="0" borderId="62" xfId="2" applyFont="1" applyBorder="1" applyAlignment="1">
      <alignment horizontal="center" vertical="center"/>
    </xf>
    <xf numFmtId="179" fontId="8" fillId="0" borderId="62" xfId="2" applyNumberFormat="1" applyFont="1" applyBorder="1">
      <alignment vertical="center"/>
    </xf>
    <xf numFmtId="179" fontId="8" fillId="0" borderId="48" xfId="2" applyNumberFormat="1" applyFont="1" applyBorder="1" applyAlignment="1">
      <alignment horizontal="right" vertical="center"/>
    </xf>
    <xf numFmtId="0" fontId="7" fillId="0" borderId="1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shrinkToFit="1"/>
    </xf>
    <xf numFmtId="0" fontId="7" fillId="0" borderId="26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8" fontId="8" fillId="0" borderId="62" xfId="2" applyNumberFormat="1" applyFont="1" applyBorder="1" applyAlignment="1">
      <alignment horizontal="right" vertical="center"/>
    </xf>
    <xf numFmtId="179" fontId="8" fillId="0" borderId="62" xfId="4" applyNumberFormat="1" applyFont="1" applyBorder="1" applyAlignment="1">
      <alignment horizontal="right" vertical="center"/>
    </xf>
    <xf numFmtId="41" fontId="3" fillId="0" borderId="0" xfId="2" applyFont="1">
      <alignment vertical="center"/>
    </xf>
    <xf numFmtId="41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41" fontId="3" fillId="0" borderId="0" xfId="0" applyNumberFormat="1" applyFont="1" applyAlignment="1">
      <alignment horizontal="center" vertical="center"/>
    </xf>
    <xf numFmtId="41" fontId="3" fillId="0" borderId="0" xfId="2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1" fontId="8" fillId="0" borderId="10" xfId="2" applyFont="1" applyBorder="1" applyAlignment="1">
      <alignment horizontal="center" vertical="center"/>
    </xf>
    <xf numFmtId="41" fontId="8" fillId="0" borderId="4" xfId="2" applyFont="1" applyBorder="1" applyAlignment="1">
      <alignment horizontal="center" vertical="center"/>
    </xf>
    <xf numFmtId="41" fontId="8" fillId="0" borderId="3" xfId="2" applyFont="1" applyBorder="1" applyAlignment="1">
      <alignment horizontal="center" vertical="center"/>
    </xf>
    <xf numFmtId="3" fontId="8" fillId="0" borderId="10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3" fontId="8" fillId="0" borderId="3" xfId="2" applyNumberFormat="1" applyFont="1" applyBorder="1" applyAlignment="1">
      <alignment horizontal="right" vertical="center"/>
    </xf>
    <xf numFmtId="180" fontId="8" fillId="0" borderId="10" xfId="2" applyNumberFormat="1" applyFont="1" applyBorder="1" applyAlignment="1">
      <alignment horizontal="right" vertical="center"/>
    </xf>
    <xf numFmtId="180" fontId="8" fillId="0" borderId="4" xfId="2" applyNumberFormat="1" applyFont="1" applyBorder="1" applyAlignment="1">
      <alignment horizontal="right" vertical="center"/>
    </xf>
    <xf numFmtId="180" fontId="8" fillId="0" borderId="3" xfId="2" applyNumberFormat="1" applyFont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41" fontId="8" fillId="0" borderId="36" xfId="2" applyFont="1" applyBorder="1" applyAlignment="1">
      <alignment horizontal="center" vertical="center"/>
    </xf>
    <xf numFmtId="41" fontId="8" fillId="0" borderId="35" xfId="2" applyFont="1" applyBorder="1" applyAlignment="1">
      <alignment horizontal="center" vertical="center"/>
    </xf>
    <xf numFmtId="0" fontId="15" fillId="0" borderId="46" xfId="0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/>
    </xf>
    <xf numFmtId="0" fontId="15" fillId="0" borderId="6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41" fontId="8" fillId="0" borderId="39" xfId="2" applyFont="1" applyBorder="1" applyAlignment="1">
      <alignment horizontal="center" vertical="center"/>
    </xf>
    <xf numFmtId="41" fontId="8" fillId="0" borderId="10" xfId="4" applyFont="1" applyBorder="1" applyAlignment="1">
      <alignment horizontal="center" vertical="center"/>
    </xf>
    <xf numFmtId="41" fontId="8" fillId="0" borderId="4" xfId="4" applyFont="1" applyBorder="1" applyAlignment="1">
      <alignment horizontal="center" vertical="center"/>
    </xf>
    <xf numFmtId="41" fontId="8" fillId="0" borderId="3" xfId="4" applyFont="1" applyBorder="1" applyAlignment="1">
      <alignment horizontal="center" vertical="center"/>
    </xf>
    <xf numFmtId="178" fontId="8" fillId="0" borderId="10" xfId="2" applyNumberFormat="1" applyFont="1" applyBorder="1" applyAlignment="1">
      <alignment horizontal="right" vertical="center"/>
    </xf>
    <xf numFmtId="178" fontId="8" fillId="0" borderId="3" xfId="2" applyNumberFormat="1" applyFont="1" applyBorder="1" applyAlignment="1">
      <alignment horizontal="right" vertical="center"/>
    </xf>
    <xf numFmtId="0" fontId="12" fillId="0" borderId="0" xfId="0" applyFont="1" applyAlignment="1">
      <alignment horizontal="center" vertical="center"/>
    </xf>
    <xf numFmtId="178" fontId="8" fillId="0" borderId="10" xfId="4" applyNumberFormat="1" applyFont="1" applyBorder="1" applyAlignment="1">
      <alignment horizontal="center" vertical="center"/>
    </xf>
    <xf numFmtId="178" fontId="8" fillId="0" borderId="4" xfId="4" applyNumberFormat="1" applyFont="1" applyBorder="1" applyAlignment="1">
      <alignment horizontal="center" vertical="center"/>
    </xf>
    <xf numFmtId="41" fontId="15" fillId="0" borderId="1" xfId="2" applyFont="1" applyBorder="1" applyAlignment="1">
      <alignment horizontal="center" vertical="center" wrapText="1"/>
    </xf>
    <xf numFmtId="41" fontId="15" fillId="0" borderId="14" xfId="2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41" fontId="15" fillId="0" borderId="70" xfId="4" applyFont="1" applyBorder="1" applyAlignment="1">
      <alignment horizontal="center" vertical="center" wrapText="1"/>
    </xf>
    <xf numFmtId="41" fontId="15" fillId="0" borderId="71" xfId="4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41" fontId="7" fillId="0" borderId="37" xfId="0" applyNumberFormat="1" applyFont="1" applyBorder="1" applyAlignment="1">
      <alignment horizontal="center" vertical="center"/>
    </xf>
    <xf numFmtId="179" fontId="8" fillId="0" borderId="10" xfId="2" applyNumberFormat="1" applyFont="1" applyBorder="1" applyAlignment="1">
      <alignment horizontal="right" vertical="center"/>
    </xf>
    <xf numFmtId="179" fontId="8" fillId="0" borderId="4" xfId="2" applyNumberFormat="1" applyFont="1" applyBorder="1" applyAlignment="1">
      <alignment horizontal="right" vertical="center"/>
    </xf>
    <xf numFmtId="178" fontId="8" fillId="0" borderId="36" xfId="2" applyNumberFormat="1" applyFont="1" applyBorder="1" applyAlignment="1">
      <alignment horizontal="right" vertical="center"/>
    </xf>
    <xf numFmtId="178" fontId="8" fillId="0" borderId="35" xfId="2" applyNumberFormat="1" applyFont="1" applyBorder="1" applyAlignment="1">
      <alignment horizontal="right" vertical="center"/>
    </xf>
    <xf numFmtId="178" fontId="8" fillId="0" borderId="0" xfId="2" applyNumberFormat="1" applyFont="1">
      <alignment vertical="center"/>
    </xf>
    <xf numFmtId="0" fontId="15" fillId="0" borderId="72" xfId="0" applyFont="1" applyBorder="1" applyAlignment="1">
      <alignment horizontal="center" vertical="center"/>
    </xf>
    <xf numFmtId="0" fontId="15" fillId="0" borderId="44" xfId="0" applyFont="1" applyBorder="1" applyAlignment="1">
      <alignment horizontal="center" vertical="center"/>
    </xf>
    <xf numFmtId="41" fontId="15" fillId="0" borderId="13" xfId="2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178" fontId="8" fillId="0" borderId="4" xfId="2" applyNumberFormat="1" applyFont="1" applyBorder="1" applyAlignment="1">
      <alignment horizontal="right" vertical="center"/>
    </xf>
    <xf numFmtId="179" fontId="8" fillId="0" borderId="10" xfId="0" applyNumberFormat="1" applyFont="1" applyBorder="1" applyAlignment="1">
      <alignment horizontal="right" vertical="center"/>
    </xf>
    <xf numFmtId="179" fontId="8" fillId="0" borderId="4" xfId="0" applyNumberFormat="1" applyFont="1" applyBorder="1" applyAlignment="1">
      <alignment horizontal="right" vertical="center"/>
    </xf>
    <xf numFmtId="179" fontId="8" fillId="0" borderId="3" xfId="0" applyNumberFormat="1" applyFont="1" applyBorder="1" applyAlignment="1">
      <alignment horizontal="right" vertical="center"/>
    </xf>
    <xf numFmtId="0" fontId="15" fillId="0" borderId="70" xfId="0" applyFont="1" applyBorder="1" applyAlignment="1">
      <alignment horizontal="center" vertical="center"/>
    </xf>
    <xf numFmtId="0" fontId="15" fillId="0" borderId="68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5" fillId="0" borderId="66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178" fontId="8" fillId="0" borderId="71" xfId="2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/>
    </xf>
    <xf numFmtId="0" fontId="17" fillId="0" borderId="41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3" fillId="0" borderId="6" xfId="0" applyFont="1" applyBorder="1" applyAlignment="1">
      <alignment horizontal="left" vertical="center"/>
    </xf>
    <xf numFmtId="3" fontId="8" fillId="0" borderId="14" xfId="2" applyNumberFormat="1" applyFont="1" applyBorder="1" applyAlignment="1">
      <alignment horizontal="right" vertical="center"/>
    </xf>
    <xf numFmtId="0" fontId="7" fillId="0" borderId="41" xfId="0" applyFont="1" applyBorder="1" applyAlignment="1">
      <alignment horizontal="center" vertical="center"/>
    </xf>
    <xf numFmtId="180" fontId="8" fillId="0" borderId="9" xfId="2" applyNumberFormat="1" applyFont="1" applyBorder="1" applyAlignment="1">
      <alignment horizontal="right" vertical="center"/>
    </xf>
    <xf numFmtId="180" fontId="8" fillId="0" borderId="5" xfId="2" applyNumberFormat="1" applyFont="1" applyBorder="1" applyAlignment="1">
      <alignment horizontal="right" vertical="center"/>
    </xf>
    <xf numFmtId="41" fontId="8" fillId="0" borderId="14" xfId="4" applyFont="1" applyBorder="1" applyAlignment="1">
      <alignment horizontal="center" vertical="center"/>
    </xf>
    <xf numFmtId="0" fontId="8" fillId="0" borderId="44" xfId="0" applyFont="1" applyBorder="1" applyAlignment="1">
      <alignment horizontal="center" vertical="center"/>
    </xf>
    <xf numFmtId="41" fontId="8" fillId="0" borderId="14" xfId="2" applyFont="1" applyBorder="1" applyAlignment="1">
      <alignment horizontal="center" vertical="center"/>
    </xf>
    <xf numFmtId="41" fontId="8" fillId="0" borderId="71" xfId="2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80" fontId="8" fillId="0" borderId="14" xfId="2" applyNumberFormat="1" applyFont="1" applyBorder="1" applyAlignment="1">
      <alignment horizontal="right" vertical="center"/>
    </xf>
    <xf numFmtId="179" fontId="8" fillId="0" borderId="3" xfId="2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center" vertical="center" wrapText="1"/>
    </xf>
    <xf numFmtId="178" fontId="8" fillId="0" borderId="39" xfId="2" applyNumberFormat="1" applyFont="1" applyBorder="1" applyAlignment="1">
      <alignment horizontal="right" vertical="center"/>
    </xf>
    <xf numFmtId="178" fontId="8" fillId="0" borderId="56" xfId="2" applyNumberFormat="1" applyFont="1" applyBorder="1" applyAlignment="1">
      <alignment horizontal="right" vertical="center"/>
    </xf>
    <xf numFmtId="178" fontId="8" fillId="0" borderId="23" xfId="2" applyNumberFormat="1" applyFont="1" applyBorder="1" applyAlignment="1">
      <alignment horizontal="right" vertical="center"/>
    </xf>
    <xf numFmtId="178" fontId="8" fillId="0" borderId="48" xfId="2" applyNumberFormat="1" applyFont="1" applyBorder="1" applyAlignment="1">
      <alignment horizontal="right" vertical="center"/>
    </xf>
    <xf numFmtId="179" fontId="8" fillId="0" borderId="56" xfId="2" applyNumberFormat="1" applyFont="1" applyBorder="1" applyAlignment="1">
      <alignment horizontal="right" vertical="center"/>
    </xf>
    <xf numFmtId="179" fontId="8" fillId="0" borderId="23" xfId="2" applyNumberFormat="1" applyFont="1" applyBorder="1" applyAlignment="1">
      <alignment horizontal="right" vertical="center"/>
    </xf>
    <xf numFmtId="179" fontId="8" fillId="0" borderId="48" xfId="2" applyNumberFormat="1" applyFont="1" applyBorder="1" applyAlignment="1">
      <alignment horizontal="right" vertical="center"/>
    </xf>
    <xf numFmtId="0" fontId="17" fillId="0" borderId="10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14" xfId="0" applyFont="1" applyBorder="1" applyAlignment="1">
      <alignment horizontal="center" vertical="top" wrapText="1"/>
    </xf>
    <xf numFmtId="41" fontId="8" fillId="2" borderId="56" xfId="4" applyFont="1" applyFill="1" applyBorder="1" applyAlignment="1">
      <alignment horizontal="center" vertical="center"/>
    </xf>
    <xf numFmtId="41" fontId="8" fillId="2" borderId="23" xfId="4" applyFont="1" applyFill="1" applyBorder="1" applyAlignment="1">
      <alignment horizontal="center" vertical="center"/>
    </xf>
    <xf numFmtId="41" fontId="8" fillId="0" borderId="56" xfId="4" applyFont="1" applyBorder="1" applyAlignment="1">
      <alignment horizontal="center" vertical="center"/>
    </xf>
    <xf numFmtId="41" fontId="8" fillId="0" borderId="23" xfId="4" applyFont="1" applyBorder="1" applyAlignment="1">
      <alignment horizontal="center" vertical="center"/>
    </xf>
    <xf numFmtId="41" fontId="8" fillId="0" borderId="56" xfId="2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1" fontId="8" fillId="0" borderId="23" xfId="2" applyFont="1" applyBorder="1" applyAlignment="1">
      <alignment horizontal="center" vertical="center"/>
    </xf>
    <xf numFmtId="41" fontId="8" fillId="0" borderId="48" xfId="2" applyFont="1" applyBorder="1" applyAlignment="1">
      <alignment horizontal="center" vertical="center"/>
    </xf>
    <xf numFmtId="178" fontId="8" fillId="2" borderId="62" xfId="0" applyNumberFormat="1" applyFont="1" applyFill="1" applyBorder="1" applyAlignment="1">
      <alignment horizontal="right" vertical="center"/>
    </xf>
    <xf numFmtId="41" fontId="8" fillId="2" borderId="48" xfId="4" applyFont="1" applyFill="1" applyBorder="1" applyAlignment="1">
      <alignment horizontal="center" vertical="center"/>
    </xf>
    <xf numFmtId="41" fontId="8" fillId="0" borderId="64" xfId="2" applyFont="1" applyBorder="1" applyAlignment="1">
      <alignment horizontal="center" vertical="center"/>
    </xf>
    <xf numFmtId="41" fontId="8" fillId="0" borderId="48" xfId="4" applyFont="1" applyBorder="1" applyAlignment="1">
      <alignment horizontal="center" vertical="center"/>
    </xf>
    <xf numFmtId="179" fontId="8" fillId="0" borderId="56" xfId="4" applyNumberFormat="1" applyFont="1" applyBorder="1">
      <alignment vertical="center"/>
    </xf>
    <xf numFmtId="179" fontId="8" fillId="0" borderId="23" xfId="4" applyNumberFormat="1" applyFont="1" applyBorder="1">
      <alignment vertical="center"/>
    </xf>
    <xf numFmtId="0" fontId="7" fillId="0" borderId="19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8" fillId="0" borderId="64" xfId="2" applyNumberFormat="1" applyFont="1" applyBorder="1" applyAlignment="1">
      <alignment horizontal="right" vertical="center"/>
    </xf>
    <xf numFmtId="178" fontId="8" fillId="0" borderId="56" xfId="4" applyNumberFormat="1" applyFont="1" applyBorder="1" applyAlignment="1">
      <alignment horizontal="right" vertical="center"/>
    </xf>
    <xf numFmtId="178" fontId="8" fillId="0" borderId="23" xfId="4" applyNumberFormat="1" applyFont="1" applyBorder="1" applyAlignment="1">
      <alignment horizontal="right" vertical="center"/>
    </xf>
    <xf numFmtId="179" fontId="8" fillId="0" borderId="56" xfId="2" applyNumberFormat="1" applyFont="1" applyBorder="1">
      <alignment vertical="center"/>
    </xf>
    <xf numFmtId="179" fontId="8" fillId="0" borderId="23" xfId="2" applyNumberFormat="1" applyFont="1" applyBorder="1">
      <alignment vertical="center"/>
    </xf>
    <xf numFmtId="179" fontId="8" fillId="0" borderId="48" xfId="2" applyNumberFormat="1" applyFont="1" applyBorder="1">
      <alignment vertical="center"/>
    </xf>
    <xf numFmtId="178" fontId="8" fillId="0" borderId="48" xfId="4" applyNumberFormat="1" applyFont="1" applyBorder="1" applyAlignment="1">
      <alignment horizontal="right" vertical="center"/>
    </xf>
    <xf numFmtId="179" fontId="8" fillId="0" borderId="48" xfId="4" applyNumberFormat="1" applyFont="1" applyBorder="1">
      <alignment vertical="center"/>
    </xf>
    <xf numFmtId="179" fontId="8" fillId="0" borderId="23" xfId="0" applyNumberFormat="1" applyFont="1" applyBorder="1">
      <alignment vertical="center"/>
    </xf>
    <xf numFmtId="178" fontId="8" fillId="0" borderId="62" xfId="4" applyNumberFormat="1" applyFont="1" applyBorder="1" applyAlignment="1">
      <alignment horizontal="right" vertical="center"/>
    </xf>
    <xf numFmtId="179" fontId="8" fillId="0" borderId="62" xfId="4" applyNumberFormat="1" applyFont="1" applyBorder="1">
      <alignment vertical="center"/>
    </xf>
    <xf numFmtId="178" fontId="8" fillId="0" borderId="23" xfId="0" applyNumberFormat="1" applyFont="1" applyBorder="1" applyAlignment="1">
      <alignment horizontal="right" vertical="center"/>
    </xf>
    <xf numFmtId="178" fontId="8" fillId="0" borderId="56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9" fontId="8" fillId="0" borderId="62" xfId="4" applyNumberFormat="1" applyFont="1" applyBorder="1" applyAlignment="1">
      <alignment horizontal="right" vertical="center"/>
    </xf>
    <xf numFmtId="179" fontId="8" fillId="0" borderId="56" xfId="4" applyNumberFormat="1" applyFont="1" applyBorder="1" applyAlignment="1">
      <alignment horizontal="right" vertical="center"/>
    </xf>
    <xf numFmtId="179" fontId="8" fillId="0" borderId="23" xfId="4" applyNumberFormat="1" applyFont="1" applyBorder="1" applyAlignment="1">
      <alignment horizontal="right" vertical="center"/>
    </xf>
    <xf numFmtId="179" fontId="8" fillId="0" borderId="64" xfId="2" applyNumberFormat="1" applyFont="1" applyBorder="1" applyAlignment="1">
      <alignment horizontal="right" vertical="center"/>
    </xf>
    <xf numFmtId="179" fontId="8" fillId="0" borderId="48" xfId="4" applyNumberFormat="1" applyFont="1" applyBorder="1" applyAlignment="1">
      <alignment horizontal="right" vertical="center"/>
    </xf>
    <xf numFmtId="41" fontId="8" fillId="2" borderId="62" xfId="4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41" fontId="8" fillId="0" borderId="62" xfId="4" applyFont="1" applyBorder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17" fillId="0" borderId="18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 shrinkToFit="1"/>
    </xf>
    <xf numFmtId="0" fontId="7" fillId="0" borderId="22" xfId="0" applyFont="1" applyBorder="1" applyAlignment="1">
      <alignment horizontal="center" vertical="center" wrapText="1" shrinkToFit="1"/>
    </xf>
    <xf numFmtId="0" fontId="7" fillId="0" borderId="42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179" fontId="8" fillId="0" borderId="57" xfId="4" applyNumberFormat="1" applyFont="1" applyBorder="1">
      <alignment vertical="center"/>
    </xf>
    <xf numFmtId="179" fontId="8" fillId="0" borderId="17" xfId="4" applyNumberFormat="1" applyFont="1" applyBorder="1">
      <alignment vertical="center"/>
    </xf>
    <xf numFmtId="179" fontId="8" fillId="0" borderId="30" xfId="4" applyNumberFormat="1" applyFont="1" applyBorder="1">
      <alignment vertical="center"/>
    </xf>
    <xf numFmtId="41" fontId="15" fillId="0" borderId="58" xfId="2" applyFont="1" applyBorder="1" applyAlignment="1">
      <alignment horizontal="center" vertical="center"/>
    </xf>
    <xf numFmtId="41" fontId="15" fillId="2" borderId="65" xfId="4" applyFont="1" applyFill="1" applyBorder="1" applyAlignment="1">
      <alignment horizontal="center" vertical="center" wrapText="1"/>
    </xf>
    <xf numFmtId="41" fontId="15" fillId="2" borderId="47" xfId="4" applyFont="1" applyFill="1" applyBorder="1" applyAlignment="1">
      <alignment horizontal="center" vertical="center" wrapText="1"/>
    </xf>
    <xf numFmtId="10" fontId="7" fillId="0" borderId="0" xfId="0" applyNumberFormat="1" applyFont="1" applyBorder="1" applyAlignment="1">
      <alignment horizontal="center" vertical="center"/>
    </xf>
    <xf numFmtId="178" fontId="8" fillId="0" borderId="62" xfId="2" applyNumberFormat="1" applyFont="1" applyBorder="1" applyAlignment="1">
      <alignment horizontal="right" vertical="center"/>
    </xf>
    <xf numFmtId="41" fontId="8" fillId="2" borderId="45" xfId="4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5" fillId="0" borderId="65" xfId="0" applyFont="1" applyBorder="1" applyAlignment="1">
      <alignment horizontal="center" vertical="center"/>
    </xf>
    <xf numFmtId="0" fontId="15" fillId="0" borderId="64" xfId="0" applyFont="1" applyBorder="1" applyAlignment="1">
      <alignment horizontal="center" vertical="center"/>
    </xf>
    <xf numFmtId="178" fontId="8" fillId="0" borderId="62" xfId="0" applyNumberFormat="1" applyFont="1" applyBorder="1" applyAlignment="1">
      <alignment horizontal="right" vertical="center"/>
    </xf>
    <xf numFmtId="185" fontId="8" fillId="0" borderId="56" xfId="4" applyNumberFormat="1" applyFont="1" applyBorder="1" applyAlignment="1">
      <alignment horizontal="right" vertical="center"/>
    </xf>
    <xf numFmtId="185" fontId="8" fillId="0" borderId="23" xfId="4" applyNumberFormat="1" applyFont="1" applyBorder="1" applyAlignment="1">
      <alignment horizontal="right" vertical="center"/>
    </xf>
    <xf numFmtId="0" fontId="7" fillId="0" borderId="2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shrinkToFit="1"/>
    </xf>
    <xf numFmtId="0" fontId="7" fillId="0" borderId="15" xfId="0" applyFont="1" applyBorder="1" applyAlignment="1">
      <alignment horizontal="center" vertical="center" shrinkToFit="1"/>
    </xf>
    <xf numFmtId="0" fontId="7" fillId="0" borderId="66" xfId="0" applyFont="1" applyBorder="1" applyAlignment="1">
      <alignment horizontal="center" vertical="center" wrapText="1"/>
    </xf>
    <xf numFmtId="41" fontId="8" fillId="0" borderId="56" xfId="2" applyFont="1" applyBorder="1" applyAlignment="1">
      <alignment horizontal="center" vertical="center" wrapText="1"/>
    </xf>
    <xf numFmtId="41" fontId="8" fillId="0" borderId="23" xfId="2" applyFont="1" applyBorder="1" applyAlignment="1">
      <alignment horizontal="center" vertical="center" wrapText="1"/>
    </xf>
    <xf numFmtId="41" fontId="8" fillId="0" borderId="48" xfId="2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shrinkToFit="1"/>
    </xf>
    <xf numFmtId="41" fontId="8" fillId="0" borderId="56" xfId="2" applyFont="1" applyBorder="1" applyAlignment="1">
      <alignment horizontal="right" vertical="center"/>
    </xf>
    <xf numFmtId="41" fontId="8" fillId="0" borderId="23" xfId="2" applyFont="1" applyBorder="1" applyAlignment="1">
      <alignment horizontal="right" vertical="center"/>
    </xf>
    <xf numFmtId="41" fontId="8" fillId="0" borderId="48" xfId="2" applyFont="1" applyBorder="1" applyAlignment="1">
      <alignment horizontal="right" vertical="center"/>
    </xf>
    <xf numFmtId="41" fontId="8" fillId="0" borderId="56" xfId="4" applyFont="1" applyBorder="1" applyAlignment="1">
      <alignment horizontal="center" vertical="center" wrapText="1"/>
    </xf>
    <xf numFmtId="41" fontId="8" fillId="0" borderId="23" xfId="4" applyFont="1" applyBorder="1" applyAlignment="1">
      <alignment horizontal="center" vertical="center" wrapText="1"/>
    </xf>
    <xf numFmtId="41" fontId="8" fillId="0" borderId="48" xfId="4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41" fontId="8" fillId="0" borderId="62" xfId="2" applyFont="1" applyBorder="1" applyAlignment="1">
      <alignment horizontal="center" vertical="center"/>
    </xf>
    <xf numFmtId="183" fontId="7" fillId="0" borderId="29" xfId="0" applyNumberFormat="1" applyFont="1" applyBorder="1" applyAlignment="1">
      <alignment horizontal="center" vertical="center" shrinkToFit="1"/>
    </xf>
    <xf numFmtId="179" fontId="8" fillId="0" borderId="62" xfId="2" applyNumberFormat="1" applyFont="1" applyBorder="1">
      <alignment vertical="center"/>
    </xf>
    <xf numFmtId="41" fontId="8" fillId="2" borderId="56" xfId="4" applyFont="1" applyFill="1" applyBorder="1" applyAlignment="1">
      <alignment horizontal="center" vertical="center" wrapText="1"/>
    </xf>
    <xf numFmtId="41" fontId="8" fillId="2" borderId="23" xfId="4" applyFont="1" applyFill="1" applyBorder="1" applyAlignment="1">
      <alignment horizontal="center" vertical="center" wrapText="1"/>
    </xf>
    <xf numFmtId="41" fontId="8" fillId="2" borderId="48" xfId="4" applyFont="1" applyFill="1" applyBorder="1" applyAlignment="1">
      <alignment horizontal="center" vertical="center" wrapText="1"/>
    </xf>
    <xf numFmtId="178" fontId="8" fillId="0" borderId="63" xfId="4" applyNumberFormat="1" applyFont="1" applyBorder="1" applyAlignment="1">
      <alignment horizontal="right" vertical="center"/>
    </xf>
    <xf numFmtId="179" fontId="8" fillId="0" borderId="56" xfId="4" applyNumberFormat="1" applyFont="1" applyBorder="1" applyAlignment="1">
      <alignment vertical="center" wrapText="1"/>
    </xf>
    <xf numFmtId="179" fontId="8" fillId="0" borderId="23" xfId="4" applyNumberFormat="1" applyFont="1" applyBorder="1" applyAlignment="1">
      <alignment vertical="center" wrapText="1"/>
    </xf>
    <xf numFmtId="179" fontId="8" fillId="0" borderId="48" xfId="4" applyNumberFormat="1" applyFont="1" applyBorder="1" applyAlignment="1">
      <alignment vertical="center" wrapText="1"/>
    </xf>
    <xf numFmtId="178" fontId="8" fillId="0" borderId="56" xfId="4" applyNumberFormat="1" applyFont="1" applyBorder="1" applyAlignment="1">
      <alignment horizontal="right" vertical="center" wrapText="1"/>
    </xf>
    <xf numFmtId="178" fontId="8" fillId="0" borderId="23" xfId="4" applyNumberFormat="1" applyFont="1" applyBorder="1" applyAlignment="1">
      <alignment horizontal="right" vertical="center" wrapText="1"/>
    </xf>
    <xf numFmtId="178" fontId="8" fillId="0" borderId="48" xfId="4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 shrinkToFit="1"/>
    </xf>
    <xf numFmtId="0" fontId="7" fillId="0" borderId="29" xfId="0" applyFont="1" applyBorder="1" applyAlignment="1">
      <alignment horizontal="center" vertical="center" shrinkToFit="1"/>
    </xf>
    <xf numFmtId="0" fontId="10" fillId="0" borderId="42" xfId="0" applyFont="1" applyBorder="1" applyAlignment="1">
      <alignment horizontal="left" vertical="center" shrinkToFit="1"/>
    </xf>
    <xf numFmtId="0" fontId="7" fillId="0" borderId="44" xfId="0" applyFont="1" applyBorder="1" applyAlignment="1">
      <alignment horizontal="left" vertical="center"/>
    </xf>
    <xf numFmtId="41" fontId="7" fillId="0" borderId="6" xfId="2" applyFont="1" applyBorder="1">
      <alignment vertical="center"/>
    </xf>
    <xf numFmtId="184" fontId="7" fillId="0" borderId="0" xfId="0" applyNumberFormat="1" applyFont="1" applyBorder="1" applyAlignment="1">
      <alignment horizontal="center" vertical="center"/>
    </xf>
    <xf numFmtId="0" fontId="16" fillId="0" borderId="17" xfId="0" applyFont="1" applyBorder="1" applyAlignment="1">
      <alignment horizontal="left" vertical="center"/>
    </xf>
    <xf numFmtId="0" fontId="7" fillId="0" borderId="30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center" vertical="center" shrinkToFit="1"/>
    </xf>
  </cellXfs>
  <cellStyles count="7">
    <cellStyle name="백분율" xfId="1" builtinId="5"/>
    <cellStyle name="백분율 2" xfId="3" xr:uid="{00000000-0005-0000-0000-000003000000}"/>
    <cellStyle name="쉼표 [0]" xfId="2" builtinId="6"/>
    <cellStyle name="쉼표 [0] 2" xfId="4" xr:uid="{00000000-0005-0000-0000-000004000000}"/>
    <cellStyle name="표준" xfId="0" builtinId="0"/>
    <cellStyle name="표준 2" xfId="5" xr:uid="{00000000-0005-0000-0000-000005000000}"/>
    <cellStyle name="표준 3" xfId="6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  <color rgb="FF0036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33"/>
  <sheetViews>
    <sheetView topLeftCell="A13" zoomScaleNormal="100" zoomScaleSheetLayoutView="75" workbookViewId="0">
      <selection activeCell="R7" sqref="R7"/>
    </sheetView>
  </sheetViews>
  <sheetFormatPr defaultColWidth="9" defaultRowHeight="16.5"/>
  <cols>
    <col min="1" max="1" width="9.625" customWidth="1"/>
    <col min="2" max="2" width="6.375" customWidth="1"/>
    <col min="3" max="3" width="6" customWidth="1"/>
    <col min="4" max="4" width="11.375" customWidth="1"/>
    <col min="5" max="5" width="5.375" customWidth="1"/>
    <col min="6" max="6" width="6.125" customWidth="1"/>
    <col min="7" max="8" width="6.875" customWidth="1"/>
    <col min="9" max="9" width="16.375" customWidth="1"/>
    <col min="10" max="10" width="9.125" customWidth="1"/>
    <col min="11" max="11" width="5.125" customWidth="1"/>
    <col min="12" max="12" width="9.75" customWidth="1"/>
  </cols>
  <sheetData>
    <row r="1" spans="1:16" ht="29.25" customHeight="1"/>
    <row r="2" spans="1:16" ht="51" customHeight="1">
      <c r="A2" s="397" t="s">
        <v>483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  <c r="M2" s="397"/>
      <c r="N2" s="397"/>
      <c r="O2" s="397"/>
      <c r="P2" s="397"/>
    </row>
    <row r="3" spans="1:16">
      <c r="B3" s="1"/>
    </row>
    <row r="4" spans="1:16">
      <c r="B4" s="1"/>
    </row>
    <row r="5" spans="1:16" ht="21.75" customHeight="1">
      <c r="B5" s="2" t="s">
        <v>65</v>
      </c>
      <c r="C5" s="398" t="s">
        <v>481</v>
      </c>
      <c r="D5" s="398"/>
      <c r="E5" s="398"/>
      <c r="F5" s="398"/>
      <c r="G5" s="398"/>
      <c r="H5" s="398"/>
      <c r="I5" s="398"/>
      <c r="J5" s="398"/>
      <c r="K5" s="398"/>
      <c r="L5" s="398"/>
      <c r="M5" s="398"/>
      <c r="N5" s="398"/>
      <c r="O5" s="398"/>
    </row>
    <row r="6" spans="1:16" ht="21.75" customHeight="1">
      <c r="B6" s="2"/>
      <c r="C6" s="399" t="s">
        <v>482</v>
      </c>
      <c r="D6" s="399"/>
      <c r="E6" s="399"/>
      <c r="F6" s="399"/>
      <c r="G6" s="399"/>
      <c r="H6" s="399"/>
      <c r="I6" s="399"/>
      <c r="J6" s="399"/>
      <c r="K6" s="399"/>
      <c r="L6" s="399"/>
      <c r="M6" s="3"/>
      <c r="N6" s="3"/>
      <c r="O6" s="3"/>
    </row>
    <row r="7" spans="1:16" ht="21.75" customHeight="1">
      <c r="B7" s="2"/>
      <c r="C7" s="398" t="s">
        <v>292</v>
      </c>
      <c r="D7" s="398"/>
      <c r="E7" s="401" t="s">
        <v>292</v>
      </c>
      <c r="F7" s="401"/>
      <c r="G7" s="398"/>
      <c r="H7" s="398"/>
      <c r="I7" s="398"/>
      <c r="J7" s="398"/>
      <c r="K7" s="398"/>
      <c r="L7" s="398"/>
      <c r="M7" s="3"/>
      <c r="N7" s="3"/>
      <c r="O7" s="3"/>
    </row>
    <row r="8" spans="1:16" ht="21.75" customHeight="1">
      <c r="B8" s="2" t="s">
        <v>1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6" ht="21.75" customHeight="1">
      <c r="B9" s="2"/>
      <c r="C9" s="2" t="s">
        <v>398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6" ht="21.75" customHeight="1">
      <c r="B10" s="2"/>
      <c r="C10" s="2"/>
      <c r="D10" s="2" t="s">
        <v>58</v>
      </c>
      <c r="E10" s="3"/>
      <c r="F10" s="393">
        <v>123676.66</v>
      </c>
      <c r="G10" s="393"/>
      <c r="H10" s="3" t="s">
        <v>315</v>
      </c>
      <c r="I10" s="3" t="s">
        <v>98</v>
      </c>
      <c r="J10" s="393">
        <v>960</v>
      </c>
      <c r="K10" s="393"/>
      <c r="L10" s="3" t="s">
        <v>315</v>
      </c>
      <c r="M10" s="3"/>
      <c r="N10" s="3"/>
      <c r="O10" s="3"/>
    </row>
    <row r="11" spans="1:16" ht="21.75" customHeight="1">
      <c r="B11" s="2"/>
      <c r="C11" s="2"/>
      <c r="D11" s="2" t="s">
        <v>181</v>
      </c>
      <c r="E11" s="3"/>
      <c r="F11" s="393">
        <v>0</v>
      </c>
      <c r="G11" s="393"/>
      <c r="H11" s="3" t="s">
        <v>315</v>
      </c>
      <c r="I11" s="3" t="s">
        <v>143</v>
      </c>
      <c r="J11" s="393">
        <v>2803332.7008799999</v>
      </c>
      <c r="K11" s="393"/>
      <c r="L11" s="3" t="s">
        <v>315</v>
      </c>
      <c r="M11" s="3"/>
      <c r="N11" s="3"/>
      <c r="O11" s="3"/>
    </row>
    <row r="12" spans="1:16" ht="21.75" customHeight="1">
      <c r="B12" s="2"/>
      <c r="C12" s="2"/>
      <c r="D12" s="2" t="s">
        <v>80</v>
      </c>
      <c r="E12" s="3"/>
      <c r="F12" s="393">
        <v>1622328.7050000001</v>
      </c>
      <c r="G12" s="393"/>
      <c r="H12" s="3" t="s">
        <v>315</v>
      </c>
      <c r="I12" s="2" t="s">
        <v>193</v>
      </c>
      <c r="J12" s="400">
        <v>4321910.8040000005</v>
      </c>
      <c r="K12" s="400"/>
      <c r="L12" s="3" t="s">
        <v>315</v>
      </c>
      <c r="M12" s="3"/>
      <c r="N12" s="3"/>
      <c r="O12" s="3"/>
    </row>
    <row r="13" spans="1:16" ht="21.75" customHeight="1">
      <c r="B13" s="2"/>
      <c r="C13" s="2"/>
      <c r="D13" s="2" t="s">
        <v>37</v>
      </c>
      <c r="F13" s="393">
        <v>271181.53999999998</v>
      </c>
      <c r="G13" s="393"/>
      <c r="H13" s="3" t="s">
        <v>315</v>
      </c>
      <c r="I13" s="3"/>
      <c r="J13" s="400"/>
      <c r="K13" s="402"/>
      <c r="L13" s="3"/>
      <c r="M13" s="3"/>
      <c r="N13" s="3"/>
      <c r="O13" s="3"/>
    </row>
    <row r="14" spans="1:16" ht="21.75" customHeight="1">
      <c r="B14" s="2"/>
      <c r="C14" s="2" t="s">
        <v>4</v>
      </c>
      <c r="D14" s="3"/>
      <c r="E14" s="3"/>
      <c r="F14" s="3"/>
      <c r="G14" s="3"/>
      <c r="H14" s="3"/>
      <c r="I14" s="3"/>
      <c r="J14" s="395"/>
      <c r="K14" s="395"/>
      <c r="L14" s="3"/>
      <c r="M14" s="3"/>
      <c r="N14" s="3"/>
      <c r="O14" s="3"/>
    </row>
    <row r="15" spans="1:16" ht="21.75" customHeight="1">
      <c r="B15" s="2"/>
      <c r="C15" s="2"/>
      <c r="D15" s="2" t="s">
        <v>147</v>
      </c>
      <c r="E15" s="3"/>
      <c r="F15" s="393">
        <v>1415440.5596850002</v>
      </c>
      <c r="G15" s="393"/>
      <c r="H15" s="3" t="s">
        <v>315</v>
      </c>
      <c r="I15" s="3" t="s">
        <v>227</v>
      </c>
      <c r="J15" s="393">
        <v>626365</v>
      </c>
      <c r="K15" s="393"/>
      <c r="L15" s="3" t="s">
        <v>315</v>
      </c>
      <c r="M15" s="3"/>
      <c r="N15" s="3"/>
      <c r="O15" s="3"/>
    </row>
    <row r="16" spans="1:16" ht="21.75" customHeight="1">
      <c r="B16" s="2"/>
      <c r="C16" s="2"/>
      <c r="D16" s="2" t="s">
        <v>134</v>
      </c>
      <c r="E16" s="3"/>
      <c r="F16" s="393">
        <v>981949.47985800006</v>
      </c>
      <c r="G16" s="393"/>
      <c r="H16" s="3" t="s">
        <v>315</v>
      </c>
      <c r="I16" s="3" t="s">
        <v>244</v>
      </c>
      <c r="J16" s="393">
        <v>0</v>
      </c>
      <c r="K16" s="393"/>
      <c r="L16" s="3" t="s">
        <v>315</v>
      </c>
      <c r="M16" s="3"/>
      <c r="N16" s="3"/>
      <c r="O16" s="3"/>
    </row>
    <row r="17" spans="2:15" ht="21.75" customHeight="1">
      <c r="B17" s="2"/>
      <c r="C17" s="2"/>
      <c r="D17" s="2" t="s">
        <v>94</v>
      </c>
      <c r="E17" s="3"/>
      <c r="F17" s="393">
        <v>113405.29</v>
      </c>
      <c r="G17" s="393"/>
      <c r="H17" s="3" t="s">
        <v>315</v>
      </c>
      <c r="I17" s="3" t="s">
        <v>92</v>
      </c>
      <c r="J17" s="393">
        <v>0</v>
      </c>
      <c r="K17" s="393"/>
      <c r="L17" s="3" t="s">
        <v>315</v>
      </c>
      <c r="M17" s="3"/>
      <c r="N17" s="3"/>
      <c r="O17" s="3"/>
    </row>
    <row r="18" spans="2:15" ht="21.75" customHeight="1">
      <c r="B18" s="2"/>
      <c r="C18" s="2"/>
      <c r="D18" s="2" t="s">
        <v>250</v>
      </c>
      <c r="E18" s="3"/>
      <c r="F18" s="393">
        <v>1595033.1718629999</v>
      </c>
      <c r="G18" s="393"/>
      <c r="H18" s="3" t="s">
        <v>315</v>
      </c>
      <c r="I18" s="4" t="s">
        <v>235</v>
      </c>
      <c r="J18" s="393">
        <v>4411198.9079999998</v>
      </c>
      <c r="K18" s="393"/>
      <c r="L18" s="3" t="s">
        <v>315</v>
      </c>
      <c r="M18" s="3"/>
      <c r="N18" s="3"/>
      <c r="O18" s="3"/>
    </row>
    <row r="19" spans="2:15" ht="21.75" customHeight="1">
      <c r="B19" s="2"/>
      <c r="C19" s="2"/>
      <c r="D19" s="2"/>
      <c r="E19" s="3"/>
      <c r="F19" s="393"/>
      <c r="G19" s="393"/>
      <c r="H19" s="3"/>
      <c r="I19" s="3"/>
      <c r="J19" s="3"/>
      <c r="K19" s="3"/>
      <c r="L19" s="3"/>
      <c r="M19" s="3"/>
      <c r="N19" s="3"/>
      <c r="O19" s="3"/>
    </row>
    <row r="20" spans="2:15" ht="21.75" customHeight="1">
      <c r="B20" s="2" t="s">
        <v>113</v>
      </c>
      <c r="C20" s="3" t="s">
        <v>3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</row>
    <row r="21" spans="2:15" ht="21.75" customHeight="1">
      <c r="B21" s="2"/>
      <c r="C21" s="3" t="s">
        <v>400</v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2:15" ht="21.75" customHeight="1">
      <c r="B22" s="2" t="s">
        <v>292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2:15" ht="21.75" customHeight="1">
      <c r="B23" s="2" t="s">
        <v>144</v>
      </c>
      <c r="C23" s="3" t="s">
        <v>2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</row>
    <row r="24" spans="2:15" ht="21.75" customHeight="1">
      <c r="B24" s="2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2:15" ht="21.75" customHeight="1">
      <c r="B25" s="2"/>
      <c r="C25" s="3"/>
      <c r="D25" s="396"/>
      <c r="E25" s="396"/>
      <c r="F25" s="394"/>
      <c r="G25" s="394"/>
      <c r="H25" s="3"/>
      <c r="I25" s="3"/>
      <c r="J25" s="3"/>
      <c r="K25" s="3"/>
    </row>
    <row r="26" spans="2:15" ht="21.75" customHeight="1">
      <c r="B26" s="2"/>
      <c r="C26" s="3" t="s">
        <v>292</v>
      </c>
      <c r="D26" s="396"/>
      <c r="E26" s="396"/>
      <c r="F26" s="394"/>
      <c r="G26" s="394"/>
      <c r="H26" s="3"/>
      <c r="I26" s="3"/>
      <c r="J26" s="3"/>
      <c r="K26" s="3"/>
    </row>
    <row r="27" spans="2:15" ht="21.75" customHeight="1">
      <c r="B27" s="2"/>
      <c r="C27" s="3"/>
      <c r="D27" s="396"/>
      <c r="E27" s="396"/>
      <c r="F27" s="394"/>
      <c r="G27" s="394"/>
      <c r="H27" s="3"/>
      <c r="I27" s="3"/>
      <c r="J27" s="3"/>
      <c r="K27" s="3"/>
    </row>
    <row r="28" spans="2:15" ht="21.75" customHeight="1">
      <c r="B28" s="2"/>
      <c r="C28" s="3"/>
      <c r="D28" s="3"/>
      <c r="E28" s="3"/>
      <c r="F28" s="3"/>
      <c r="G28" s="3"/>
      <c r="H28" s="3"/>
      <c r="I28" s="3"/>
      <c r="J28" s="3"/>
      <c r="K28" s="3"/>
    </row>
    <row r="29" spans="2:15" ht="21.75" customHeight="1">
      <c r="B29" s="2"/>
      <c r="C29" s="3"/>
      <c r="D29" s="3"/>
      <c r="E29" s="3"/>
      <c r="F29" s="3"/>
      <c r="G29" s="3"/>
      <c r="H29" s="3"/>
      <c r="I29" s="3"/>
      <c r="J29" s="3"/>
      <c r="K29" s="3"/>
    </row>
    <row r="30" spans="2:15" ht="21.75" customHeight="1">
      <c r="B30" s="2"/>
      <c r="C30" s="3"/>
      <c r="D30" s="3"/>
      <c r="E30" s="3"/>
      <c r="F30" s="3"/>
      <c r="G30" s="3"/>
      <c r="H30" s="3"/>
      <c r="I30" s="3"/>
      <c r="J30" s="3"/>
      <c r="K30" s="3"/>
    </row>
    <row r="31" spans="2:15" ht="21.75" customHeight="1">
      <c r="B31" s="2"/>
      <c r="C31" s="3"/>
      <c r="D31" s="3"/>
      <c r="E31" s="3"/>
      <c r="F31" s="3"/>
      <c r="G31" s="3"/>
      <c r="H31" s="3"/>
      <c r="I31" s="3"/>
      <c r="J31" s="3"/>
      <c r="K31" s="3"/>
    </row>
    <row r="32" spans="2:15" ht="21.75" customHeight="1">
      <c r="B32" s="2"/>
      <c r="C32" s="3"/>
      <c r="D32" s="3"/>
      <c r="E32" s="3"/>
      <c r="F32" s="3"/>
      <c r="G32" s="3"/>
      <c r="H32" s="3"/>
      <c r="I32" s="3"/>
      <c r="J32" s="3"/>
      <c r="K32" s="3"/>
    </row>
    <row r="33" spans="2:11" ht="21.75" customHeight="1">
      <c r="B33" s="2"/>
      <c r="C33" s="3"/>
      <c r="D33" s="3"/>
      <c r="E33" s="3"/>
      <c r="F33" s="3"/>
      <c r="G33" s="3"/>
      <c r="H33" s="3"/>
      <c r="I33" s="3"/>
      <c r="J33" s="3"/>
      <c r="K33" s="3"/>
    </row>
  </sheetData>
  <mergeCells count="30">
    <mergeCell ref="A2:P2"/>
    <mergeCell ref="C5:O5"/>
    <mergeCell ref="C6:L6"/>
    <mergeCell ref="J16:K16"/>
    <mergeCell ref="J17:K17"/>
    <mergeCell ref="J10:K10"/>
    <mergeCell ref="J11:K11"/>
    <mergeCell ref="J12:K12"/>
    <mergeCell ref="G7:L7"/>
    <mergeCell ref="C7:D7"/>
    <mergeCell ref="E7:F7"/>
    <mergeCell ref="J13:K13"/>
    <mergeCell ref="D27:E27"/>
    <mergeCell ref="D25:E25"/>
    <mergeCell ref="D26:E26"/>
    <mergeCell ref="F10:G10"/>
    <mergeCell ref="F11:G11"/>
    <mergeCell ref="F26:G26"/>
    <mergeCell ref="F12:G12"/>
    <mergeCell ref="F15:G15"/>
    <mergeCell ref="F13:G13"/>
    <mergeCell ref="F17:G17"/>
    <mergeCell ref="F18:G18"/>
    <mergeCell ref="F16:G16"/>
    <mergeCell ref="J18:K18"/>
    <mergeCell ref="F27:G27"/>
    <mergeCell ref="F19:G19"/>
    <mergeCell ref="F25:G25"/>
    <mergeCell ref="J14:K14"/>
    <mergeCell ref="J15:K15"/>
  </mergeCells>
  <phoneticPr fontId="6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AA102"/>
  <sheetViews>
    <sheetView view="pageBreakPreview" topLeftCell="A71" zoomScaleNormal="100" zoomScaleSheetLayoutView="100" workbookViewId="0">
      <selection activeCell="AC81" sqref="AC81"/>
    </sheetView>
  </sheetViews>
  <sheetFormatPr defaultColWidth="9" defaultRowHeight="16.5"/>
  <cols>
    <col min="1" max="2" width="7.125" style="100" customWidth="1"/>
    <col min="3" max="3" width="13.25" style="100" customWidth="1"/>
    <col min="4" max="5" width="13.125" style="119" customWidth="1"/>
    <col min="6" max="6" width="0.125" style="119" hidden="1" customWidth="1"/>
    <col min="7" max="7" width="10.125" style="120" customWidth="1"/>
    <col min="8" max="8" width="8.125" style="121" customWidth="1"/>
    <col min="9" max="9" width="20.75" style="46" customWidth="1"/>
    <col min="10" max="10" width="12.5" style="46" customWidth="1"/>
    <col min="11" max="11" width="3.125" style="47" customWidth="1"/>
    <col min="12" max="12" width="2.625" style="47" customWidth="1"/>
    <col min="13" max="14" width="3.125" style="46" customWidth="1"/>
    <col min="15" max="15" width="2.625" style="46" customWidth="1"/>
    <col min="16" max="16" width="13.625" style="46" customWidth="1"/>
    <col min="17" max="17" width="2.5" style="46" customWidth="1"/>
    <col min="18" max="18" width="0.125" style="25" hidden="1" customWidth="1"/>
    <col min="19" max="19" width="20.875" style="26" hidden="1" customWidth="1"/>
    <col min="20" max="20" width="13.5" style="25" hidden="1" customWidth="1"/>
    <col min="21" max="21" width="31.25" style="25" hidden="1" customWidth="1"/>
    <col min="22" max="22" width="0.25" style="25" hidden="1" customWidth="1"/>
    <col min="23" max="26" width="9" style="25" hidden="1" customWidth="1"/>
    <col min="27" max="27" width="11.5" style="25" customWidth="1"/>
    <col min="28" max="16384" width="9" style="25"/>
  </cols>
  <sheetData>
    <row r="1" spans="1:19" ht="22.5">
      <c r="A1" s="430" t="s">
        <v>404</v>
      </c>
      <c r="B1" s="430"/>
      <c r="C1" s="430"/>
      <c r="D1" s="430"/>
      <c r="E1" s="430"/>
      <c r="F1" s="430"/>
      <c r="G1" s="430"/>
      <c r="H1" s="430"/>
      <c r="I1" s="430"/>
      <c r="J1" s="430"/>
      <c r="K1" s="430"/>
      <c r="L1" s="430"/>
      <c r="M1" s="430"/>
      <c r="N1" s="430"/>
      <c r="O1" s="430"/>
      <c r="P1" s="430"/>
      <c r="Q1" s="430"/>
    </row>
    <row r="2" spans="1:19" ht="22.5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</row>
    <row r="3" spans="1:19" ht="21.95" customHeight="1">
      <c r="A3" s="470" t="s">
        <v>36</v>
      </c>
      <c r="B3" s="470"/>
      <c r="C3" s="27"/>
      <c r="D3" s="27"/>
      <c r="E3" s="27"/>
      <c r="F3" s="27"/>
      <c r="G3" s="28"/>
      <c r="H3" s="29"/>
      <c r="I3" s="27"/>
      <c r="J3" s="27" t="s">
        <v>292</v>
      </c>
      <c r="K3" s="27"/>
      <c r="L3" s="27"/>
      <c r="M3" s="27"/>
      <c r="N3" s="27"/>
      <c r="O3" s="464" t="s">
        <v>18</v>
      </c>
      <c r="P3" s="464"/>
      <c r="Q3" s="464"/>
    </row>
    <row r="4" spans="1:19" ht="19.5" customHeight="1">
      <c r="A4" s="435" t="s">
        <v>274</v>
      </c>
      <c r="B4" s="441" t="s">
        <v>270</v>
      </c>
      <c r="C4" s="449" t="s">
        <v>278</v>
      </c>
      <c r="D4" s="433" t="s">
        <v>462</v>
      </c>
      <c r="E4" s="433" t="s">
        <v>464</v>
      </c>
      <c r="F4" s="439" t="s">
        <v>10</v>
      </c>
      <c r="G4" s="451" t="s">
        <v>77</v>
      </c>
      <c r="H4" s="451"/>
      <c r="I4" s="458" t="s">
        <v>405</v>
      </c>
      <c r="J4" s="441"/>
      <c r="K4" s="441"/>
      <c r="L4" s="441"/>
      <c r="M4" s="441"/>
      <c r="N4" s="441"/>
      <c r="O4" s="441"/>
      <c r="P4" s="441"/>
      <c r="Q4" s="459"/>
    </row>
    <row r="5" spans="1:19" ht="19.5" customHeight="1">
      <c r="A5" s="436"/>
      <c r="B5" s="442"/>
      <c r="C5" s="450"/>
      <c r="D5" s="434"/>
      <c r="E5" s="434"/>
      <c r="F5" s="440"/>
      <c r="G5" s="30" t="s">
        <v>300</v>
      </c>
      <c r="H5" s="31" t="s">
        <v>156</v>
      </c>
      <c r="I5" s="460"/>
      <c r="J5" s="442"/>
      <c r="K5" s="442"/>
      <c r="L5" s="442"/>
      <c r="M5" s="442"/>
      <c r="N5" s="442"/>
      <c r="O5" s="442"/>
      <c r="P5" s="442"/>
      <c r="Q5" s="461"/>
    </row>
    <row r="6" spans="1:19" ht="20.100000000000001" customHeight="1">
      <c r="A6" s="418" t="s">
        <v>51</v>
      </c>
      <c r="B6" s="419"/>
      <c r="C6" s="420"/>
      <c r="D6" s="32">
        <f>SUM(D7,D65,D35,D81,D25,D31,D86)</f>
        <v>8708530</v>
      </c>
      <c r="E6" s="32">
        <f>SUM(E7,E65,E35,E81,E25,E31,E86)</f>
        <v>9143392.4098800011</v>
      </c>
      <c r="F6" s="33" t="e">
        <f>SUM(F7,#REF!,F65,F35,F81,F25,#REF!,#REF!,F31)</f>
        <v>#REF!</v>
      </c>
      <c r="G6" s="34">
        <f>+E6-D6</f>
        <v>434862.4098800011</v>
      </c>
      <c r="H6" s="35">
        <f>+G6/D6*100</f>
        <v>4.9935225563901264</v>
      </c>
      <c r="I6" s="36"/>
      <c r="J6" s="36"/>
      <c r="K6" s="37"/>
      <c r="L6" s="37"/>
      <c r="M6" s="36"/>
      <c r="N6" s="36"/>
      <c r="O6" s="36"/>
      <c r="P6" s="38">
        <f>SUM(P7,P25,P31,P35,P65,P81,P86)</f>
        <v>9143392409.8800011</v>
      </c>
      <c r="Q6" s="39" t="s">
        <v>261</v>
      </c>
    </row>
    <row r="7" spans="1:19" s="12" customFormat="1" ht="18.95" customHeight="1">
      <c r="A7" s="40" t="s">
        <v>260</v>
      </c>
      <c r="B7" s="462" t="s">
        <v>273</v>
      </c>
      <c r="C7" s="463"/>
      <c r="D7" s="41">
        <f>SUM(D8)</f>
        <v>86251</v>
      </c>
      <c r="E7" s="42">
        <f>SUM(E8)</f>
        <v>123677.66</v>
      </c>
      <c r="F7" s="43">
        <f>SUM(F8)</f>
        <v>71084</v>
      </c>
      <c r="G7" s="44">
        <f>+E7-D7</f>
        <v>37426.660000000003</v>
      </c>
      <c r="H7" s="45">
        <f>+G7/D7*100</f>
        <v>43.392725881439063</v>
      </c>
      <c r="I7" s="46"/>
      <c r="J7" s="46"/>
      <c r="K7" s="47"/>
      <c r="L7" s="47"/>
      <c r="M7" s="46"/>
      <c r="N7" s="46"/>
      <c r="O7" s="46"/>
      <c r="P7" s="48">
        <f>P8</f>
        <v>123677660</v>
      </c>
      <c r="Q7" s="49" t="s">
        <v>261</v>
      </c>
      <c r="S7" s="50"/>
    </row>
    <row r="8" spans="1:19" s="12" customFormat="1" ht="17.100000000000001" customHeight="1">
      <c r="A8" s="40" t="s">
        <v>265</v>
      </c>
      <c r="B8" s="51" t="s">
        <v>294</v>
      </c>
      <c r="C8" s="340" t="s">
        <v>284</v>
      </c>
      <c r="D8" s="331">
        <f>SUM(D9:D24)</f>
        <v>86251</v>
      </c>
      <c r="E8" s="333">
        <f>SUM(E9:E24)</f>
        <v>123677.66</v>
      </c>
      <c r="F8" s="52">
        <f>SUM(F9:F22)</f>
        <v>71084</v>
      </c>
      <c r="G8" s="53">
        <f>+E8-D8</f>
        <v>37426.660000000003</v>
      </c>
      <c r="H8" s="348">
        <f>+G8/D8*100</f>
        <v>43.392725881439063</v>
      </c>
      <c r="I8" s="54"/>
      <c r="J8" s="54"/>
      <c r="K8" s="55"/>
      <c r="L8" s="55"/>
      <c r="M8" s="54"/>
      <c r="N8" s="54"/>
      <c r="O8" s="54"/>
      <c r="P8" s="5">
        <f>SUM(P9,P17,P19,P23)</f>
        <v>123677660</v>
      </c>
      <c r="Q8" s="6" t="s">
        <v>261</v>
      </c>
      <c r="S8" s="50"/>
    </row>
    <row r="9" spans="1:19" s="12" customFormat="1" ht="17.100000000000001" customHeight="1">
      <c r="A9" s="56"/>
      <c r="B9" s="57" t="s">
        <v>38</v>
      </c>
      <c r="C9" s="421" t="s">
        <v>140</v>
      </c>
      <c r="D9" s="406">
        <v>60940</v>
      </c>
      <c r="E9" s="416">
        <f>+P9/1000</f>
        <v>60940</v>
      </c>
      <c r="F9" s="58">
        <v>0</v>
      </c>
      <c r="G9" s="428">
        <f>+E9-D9</f>
        <v>0</v>
      </c>
      <c r="H9" s="455">
        <f>+G9/D9*100</f>
        <v>0</v>
      </c>
      <c r="I9" s="59"/>
      <c r="J9" s="60"/>
      <c r="K9" s="339"/>
      <c r="L9" s="339"/>
      <c r="M9" s="415" t="s">
        <v>298</v>
      </c>
      <c r="N9" s="415"/>
      <c r="O9" s="415"/>
      <c r="P9" s="60">
        <f>SUM(P10:P16)</f>
        <v>60940000</v>
      </c>
      <c r="Q9" s="6" t="s">
        <v>261</v>
      </c>
      <c r="S9" s="50"/>
    </row>
    <row r="10" spans="1:19" s="12" customFormat="1" ht="17.100000000000001" customHeight="1">
      <c r="A10" s="56"/>
      <c r="B10" s="343"/>
      <c r="C10" s="422"/>
      <c r="D10" s="407"/>
      <c r="E10" s="417"/>
      <c r="F10" s="61"/>
      <c r="G10" s="454"/>
      <c r="H10" s="456"/>
      <c r="I10" s="62" t="s">
        <v>5</v>
      </c>
      <c r="J10" s="11">
        <v>700000</v>
      </c>
      <c r="K10" s="14" t="s">
        <v>261</v>
      </c>
      <c r="L10" s="13" t="s">
        <v>277</v>
      </c>
      <c r="M10" s="14">
        <v>12</v>
      </c>
      <c r="N10" s="14" t="s">
        <v>276</v>
      </c>
      <c r="O10" s="14" t="s">
        <v>279</v>
      </c>
      <c r="P10" s="11">
        <f t="shared" ref="P10:P16" si="0">SUM(J10*M10)</f>
        <v>8400000</v>
      </c>
      <c r="Q10" s="16" t="s">
        <v>261</v>
      </c>
      <c r="S10" s="50"/>
    </row>
    <row r="11" spans="1:19" s="12" customFormat="1" ht="17.100000000000001" customHeight="1">
      <c r="A11" s="56"/>
      <c r="B11" s="343"/>
      <c r="C11" s="422"/>
      <c r="D11" s="407"/>
      <c r="E11" s="417"/>
      <c r="F11" s="63"/>
      <c r="G11" s="454"/>
      <c r="H11" s="456"/>
      <c r="I11" s="64" t="s">
        <v>336</v>
      </c>
      <c r="J11" s="11">
        <v>420000</v>
      </c>
      <c r="K11" s="14" t="s">
        <v>261</v>
      </c>
      <c r="L11" s="13" t="s">
        <v>277</v>
      </c>
      <c r="M11" s="14">
        <v>12</v>
      </c>
      <c r="N11" s="14" t="s">
        <v>276</v>
      </c>
      <c r="O11" s="14" t="s">
        <v>279</v>
      </c>
      <c r="P11" s="11">
        <f t="shared" si="0"/>
        <v>5040000</v>
      </c>
      <c r="Q11" s="16" t="s">
        <v>261</v>
      </c>
      <c r="S11" s="50"/>
    </row>
    <row r="12" spans="1:19" s="12" customFormat="1" ht="17.100000000000001" customHeight="1">
      <c r="A12" s="56"/>
      <c r="B12" s="343"/>
      <c r="C12" s="422"/>
      <c r="D12" s="407"/>
      <c r="E12" s="417"/>
      <c r="F12" s="61"/>
      <c r="G12" s="454"/>
      <c r="H12" s="456"/>
      <c r="I12" s="64" t="s">
        <v>224</v>
      </c>
      <c r="J12" s="11">
        <v>500000</v>
      </c>
      <c r="K12" s="14" t="s">
        <v>261</v>
      </c>
      <c r="L12" s="13" t="s">
        <v>277</v>
      </c>
      <c r="M12" s="14">
        <v>8</v>
      </c>
      <c r="N12" s="14" t="s">
        <v>276</v>
      </c>
      <c r="O12" s="14" t="s">
        <v>279</v>
      </c>
      <c r="P12" s="11">
        <f t="shared" si="0"/>
        <v>4000000</v>
      </c>
      <c r="Q12" s="16" t="s">
        <v>261</v>
      </c>
      <c r="S12" s="50"/>
    </row>
    <row r="13" spans="1:19" s="12" customFormat="1" ht="17.100000000000001" customHeight="1">
      <c r="A13" s="56"/>
      <c r="B13" s="343"/>
      <c r="C13" s="422"/>
      <c r="D13" s="407"/>
      <c r="E13" s="417"/>
      <c r="F13" s="61"/>
      <c r="G13" s="454"/>
      <c r="H13" s="456"/>
      <c r="I13" s="64" t="s">
        <v>358</v>
      </c>
      <c r="J13" s="11">
        <v>2100000</v>
      </c>
      <c r="K13" s="14" t="s">
        <v>261</v>
      </c>
      <c r="L13" s="13" t="s">
        <v>277</v>
      </c>
      <c r="M13" s="14">
        <v>12</v>
      </c>
      <c r="N13" s="14" t="s">
        <v>276</v>
      </c>
      <c r="O13" s="14" t="s">
        <v>279</v>
      </c>
      <c r="P13" s="11">
        <f t="shared" si="0"/>
        <v>25200000</v>
      </c>
      <c r="Q13" s="16" t="s">
        <v>261</v>
      </c>
      <c r="S13" s="50"/>
    </row>
    <row r="14" spans="1:19" s="12" customFormat="1" ht="17.100000000000001" customHeight="1">
      <c r="A14" s="56"/>
      <c r="B14" s="343"/>
      <c r="C14" s="422"/>
      <c r="D14" s="407"/>
      <c r="E14" s="417"/>
      <c r="F14" s="61"/>
      <c r="G14" s="454"/>
      <c r="H14" s="456"/>
      <c r="I14" s="64" t="s">
        <v>19</v>
      </c>
      <c r="J14" s="11">
        <v>1300000</v>
      </c>
      <c r="K14" s="14" t="s">
        <v>261</v>
      </c>
      <c r="L14" s="13" t="s">
        <v>277</v>
      </c>
      <c r="M14" s="14">
        <v>12</v>
      </c>
      <c r="N14" s="14" t="s">
        <v>276</v>
      </c>
      <c r="O14" s="14" t="s">
        <v>279</v>
      </c>
      <c r="P14" s="11">
        <f t="shared" si="0"/>
        <v>15600000</v>
      </c>
      <c r="Q14" s="16" t="s">
        <v>261</v>
      </c>
      <c r="S14" s="50"/>
    </row>
    <row r="15" spans="1:19" s="12" customFormat="1" ht="17.100000000000001" customHeight="1">
      <c r="A15" s="56"/>
      <c r="B15" s="343"/>
      <c r="C15" s="422"/>
      <c r="D15" s="407"/>
      <c r="E15" s="417"/>
      <c r="F15" s="61"/>
      <c r="G15" s="454"/>
      <c r="H15" s="456"/>
      <c r="I15" s="64" t="s">
        <v>364</v>
      </c>
      <c r="J15" s="11">
        <v>100000</v>
      </c>
      <c r="K15" s="14" t="s">
        <v>261</v>
      </c>
      <c r="L15" s="13" t="s">
        <v>277</v>
      </c>
      <c r="M15" s="14">
        <v>12</v>
      </c>
      <c r="N15" s="14" t="s">
        <v>276</v>
      </c>
      <c r="O15" s="14" t="s">
        <v>279</v>
      </c>
      <c r="P15" s="11">
        <f>SUM(J15*M15)</f>
        <v>1200000</v>
      </c>
      <c r="Q15" s="16" t="s">
        <v>261</v>
      </c>
      <c r="S15" s="50"/>
    </row>
    <row r="16" spans="1:19" s="12" customFormat="1" ht="17.100000000000001" customHeight="1">
      <c r="A16" s="56"/>
      <c r="B16" s="343"/>
      <c r="C16" s="423"/>
      <c r="D16" s="408"/>
      <c r="E16" s="424"/>
      <c r="F16" s="61"/>
      <c r="G16" s="429"/>
      <c r="H16" s="457"/>
      <c r="I16" s="64" t="s">
        <v>328</v>
      </c>
      <c r="J16" s="65">
        <v>750000</v>
      </c>
      <c r="K16" s="14" t="s">
        <v>261</v>
      </c>
      <c r="L16" s="13" t="s">
        <v>277</v>
      </c>
      <c r="M16" s="14">
        <v>2</v>
      </c>
      <c r="N16" s="14" t="s">
        <v>275</v>
      </c>
      <c r="O16" s="14" t="s">
        <v>279</v>
      </c>
      <c r="P16" s="11">
        <f t="shared" si="0"/>
        <v>1500000</v>
      </c>
      <c r="Q16" s="16" t="s">
        <v>261</v>
      </c>
      <c r="S16" s="50"/>
    </row>
    <row r="17" spans="1:19" s="12" customFormat="1" ht="17.100000000000001" customHeight="1">
      <c r="A17" s="56"/>
      <c r="B17" s="343"/>
      <c r="C17" s="421" t="s">
        <v>468</v>
      </c>
      <c r="D17" s="406">
        <v>0</v>
      </c>
      <c r="E17" s="428">
        <f>(P17/1000)</f>
        <v>37426.660000000003</v>
      </c>
      <c r="F17" s="63"/>
      <c r="G17" s="409">
        <f>E17-D17</f>
        <v>37426.660000000003</v>
      </c>
      <c r="H17" s="412" t="s">
        <v>470</v>
      </c>
      <c r="I17" s="59"/>
      <c r="J17" s="60"/>
      <c r="K17" s="339"/>
      <c r="L17" s="10"/>
      <c r="M17" s="415" t="s">
        <v>298</v>
      </c>
      <c r="N17" s="415"/>
      <c r="O17" s="415"/>
      <c r="P17" s="8">
        <f>SUM(P18:P18)</f>
        <v>37426660</v>
      </c>
      <c r="Q17" s="6" t="s">
        <v>261</v>
      </c>
      <c r="S17" s="50"/>
    </row>
    <row r="18" spans="1:19" s="12" customFormat="1" ht="17.100000000000001" customHeight="1">
      <c r="A18" s="56"/>
      <c r="B18" s="343"/>
      <c r="C18" s="422"/>
      <c r="D18" s="407"/>
      <c r="E18" s="429"/>
      <c r="F18" s="63"/>
      <c r="G18" s="410"/>
      <c r="H18" s="413"/>
      <c r="I18" s="64" t="s">
        <v>469</v>
      </c>
      <c r="J18" s="50">
        <v>37426660</v>
      </c>
      <c r="K18" s="14" t="s">
        <v>261</v>
      </c>
      <c r="L18" s="13" t="s">
        <v>277</v>
      </c>
      <c r="M18" s="14">
        <v>1</v>
      </c>
      <c r="N18" s="14" t="s">
        <v>275</v>
      </c>
      <c r="O18" s="15" t="s">
        <v>285</v>
      </c>
      <c r="P18" s="11">
        <f>J18*M18</f>
        <v>37426660</v>
      </c>
      <c r="Q18" s="16" t="s">
        <v>261</v>
      </c>
      <c r="S18" s="50"/>
    </row>
    <row r="19" spans="1:19" s="12" customFormat="1" ht="17.100000000000001" customHeight="1">
      <c r="A19" s="56"/>
      <c r="B19" s="343"/>
      <c r="C19" s="452" t="s">
        <v>382</v>
      </c>
      <c r="D19" s="406">
        <v>25101</v>
      </c>
      <c r="E19" s="416">
        <f>+P19/1000</f>
        <v>25101</v>
      </c>
      <c r="F19" s="425">
        <v>71084</v>
      </c>
      <c r="G19" s="409">
        <f>+E19-D19</f>
        <v>0</v>
      </c>
      <c r="H19" s="412">
        <f>+G19/D19*100</f>
        <v>0</v>
      </c>
      <c r="I19" s="59"/>
      <c r="J19" s="60"/>
      <c r="K19" s="339"/>
      <c r="L19" s="339"/>
      <c r="M19" s="415" t="s">
        <v>298</v>
      </c>
      <c r="N19" s="415"/>
      <c r="O19" s="415"/>
      <c r="P19" s="60">
        <f>SUM(P20:P22)</f>
        <v>25101000</v>
      </c>
      <c r="Q19" s="6" t="s">
        <v>261</v>
      </c>
      <c r="S19" s="50"/>
    </row>
    <row r="20" spans="1:19" s="12" customFormat="1" ht="17.100000000000001" customHeight="1">
      <c r="A20" s="56"/>
      <c r="B20" s="343"/>
      <c r="C20" s="453"/>
      <c r="D20" s="407"/>
      <c r="E20" s="417"/>
      <c r="F20" s="426"/>
      <c r="G20" s="410"/>
      <c r="H20" s="413"/>
      <c r="I20" s="64" t="s">
        <v>321</v>
      </c>
      <c r="J20" s="11">
        <v>4700000</v>
      </c>
      <c r="K20" s="14" t="s">
        <v>261</v>
      </c>
      <c r="L20" s="13" t="s">
        <v>277</v>
      </c>
      <c r="M20" s="14">
        <v>1</v>
      </c>
      <c r="N20" s="14" t="s">
        <v>275</v>
      </c>
      <c r="O20" s="15" t="s">
        <v>279</v>
      </c>
      <c r="P20" s="11">
        <f>J20*M20</f>
        <v>4700000</v>
      </c>
      <c r="Q20" s="16" t="s">
        <v>261</v>
      </c>
      <c r="S20" s="50"/>
    </row>
    <row r="21" spans="1:19" s="12" customFormat="1" ht="17.100000000000001" customHeight="1">
      <c r="A21" s="56"/>
      <c r="B21" s="343"/>
      <c r="C21" s="453"/>
      <c r="D21" s="407"/>
      <c r="E21" s="417"/>
      <c r="F21" s="426"/>
      <c r="G21" s="410"/>
      <c r="H21" s="413"/>
      <c r="I21" s="62" t="s">
        <v>329</v>
      </c>
      <c r="J21" s="11">
        <v>1774200</v>
      </c>
      <c r="K21" s="14" t="s">
        <v>261</v>
      </c>
      <c r="L21" s="13" t="s">
        <v>277</v>
      </c>
      <c r="M21" s="14">
        <v>5</v>
      </c>
      <c r="N21" s="14" t="s">
        <v>275</v>
      </c>
      <c r="O21" s="15" t="s">
        <v>279</v>
      </c>
      <c r="P21" s="11">
        <f>J21*M21</f>
        <v>8871000</v>
      </c>
      <c r="Q21" s="16" t="s">
        <v>261</v>
      </c>
      <c r="S21" s="50"/>
    </row>
    <row r="22" spans="1:19" s="12" customFormat="1" ht="17.100000000000001" customHeight="1">
      <c r="A22" s="56"/>
      <c r="B22" s="343"/>
      <c r="C22" s="453"/>
      <c r="D22" s="407"/>
      <c r="E22" s="417"/>
      <c r="F22" s="426"/>
      <c r="G22" s="410"/>
      <c r="H22" s="413"/>
      <c r="I22" s="64" t="s">
        <v>333</v>
      </c>
      <c r="J22" s="11">
        <v>2882500</v>
      </c>
      <c r="K22" s="14" t="s">
        <v>261</v>
      </c>
      <c r="L22" s="13" t="s">
        <v>277</v>
      </c>
      <c r="M22" s="14">
        <v>4</v>
      </c>
      <c r="N22" s="14" t="s">
        <v>275</v>
      </c>
      <c r="O22" s="15" t="s">
        <v>279</v>
      </c>
      <c r="P22" s="11">
        <f>J22*M22</f>
        <v>11530000</v>
      </c>
      <c r="Q22" s="16" t="s">
        <v>261</v>
      </c>
      <c r="S22" s="50"/>
    </row>
    <row r="23" spans="1:19" s="12" customFormat="1" ht="17.100000000000001" customHeight="1">
      <c r="A23" s="56"/>
      <c r="B23" s="343"/>
      <c r="C23" s="421" t="s">
        <v>136</v>
      </c>
      <c r="D23" s="406">
        <v>210</v>
      </c>
      <c r="E23" s="428">
        <f>(P23/1000)</f>
        <v>210</v>
      </c>
      <c r="F23" s="63"/>
      <c r="G23" s="409">
        <f>E23-D23</f>
        <v>0</v>
      </c>
      <c r="H23" s="412">
        <v>0</v>
      </c>
      <c r="I23" s="59"/>
      <c r="J23" s="60"/>
      <c r="K23" s="339"/>
      <c r="L23" s="10"/>
      <c r="M23" s="415" t="s">
        <v>298</v>
      </c>
      <c r="N23" s="415"/>
      <c r="O23" s="415"/>
      <c r="P23" s="8">
        <f>SUM(P24:P24)</f>
        <v>210000</v>
      </c>
      <c r="Q23" s="6" t="s">
        <v>261</v>
      </c>
      <c r="S23" s="50"/>
    </row>
    <row r="24" spans="1:19" s="12" customFormat="1" ht="17.100000000000001" customHeight="1">
      <c r="A24" s="56"/>
      <c r="B24" s="343"/>
      <c r="C24" s="422"/>
      <c r="D24" s="407"/>
      <c r="E24" s="429"/>
      <c r="F24" s="63"/>
      <c r="G24" s="410"/>
      <c r="H24" s="413"/>
      <c r="I24" s="64" t="s">
        <v>335</v>
      </c>
      <c r="J24" s="50">
        <v>210000</v>
      </c>
      <c r="K24" s="14" t="s">
        <v>261</v>
      </c>
      <c r="L24" s="13" t="s">
        <v>277</v>
      </c>
      <c r="M24" s="14">
        <v>1</v>
      </c>
      <c r="N24" s="14" t="s">
        <v>275</v>
      </c>
      <c r="O24" s="15" t="s">
        <v>285</v>
      </c>
      <c r="P24" s="11">
        <f>J24*M24</f>
        <v>210000</v>
      </c>
      <c r="Q24" s="16" t="s">
        <v>261</v>
      </c>
      <c r="S24" s="50"/>
    </row>
    <row r="25" spans="1:19" s="12" customFormat="1" ht="18.95" customHeight="1">
      <c r="A25" s="66" t="s">
        <v>161</v>
      </c>
      <c r="B25" s="437" t="s">
        <v>273</v>
      </c>
      <c r="C25" s="438"/>
      <c r="D25" s="67">
        <f>SUM(D26)</f>
        <v>3600</v>
      </c>
      <c r="E25" s="68">
        <f>SUM(E26)</f>
        <v>960</v>
      </c>
      <c r="F25" s="69">
        <f>SUM(F26)</f>
        <v>12766566</v>
      </c>
      <c r="G25" s="70">
        <f>+E25-D25</f>
        <v>-2640</v>
      </c>
      <c r="H25" s="71">
        <f>+G25/D25*100</f>
        <v>-73.333333333333329</v>
      </c>
      <c r="I25" s="72"/>
      <c r="J25" s="72"/>
      <c r="K25" s="347"/>
      <c r="L25" s="347"/>
      <c r="M25" s="72"/>
      <c r="N25" s="72"/>
      <c r="O25" s="72"/>
      <c r="P25" s="73">
        <f>P26</f>
        <v>960000</v>
      </c>
      <c r="Q25" s="74" t="s">
        <v>261</v>
      </c>
      <c r="S25" s="50"/>
    </row>
    <row r="26" spans="1:19" s="12" customFormat="1" ht="17.100000000000001" customHeight="1">
      <c r="A26" s="56"/>
      <c r="B26" s="57" t="s">
        <v>161</v>
      </c>
      <c r="C26" s="341" t="s">
        <v>284</v>
      </c>
      <c r="D26" s="332">
        <f>SUM(D27)</f>
        <v>3600</v>
      </c>
      <c r="E26" s="335">
        <f>SUM(E27)</f>
        <v>960</v>
      </c>
      <c r="F26" s="75">
        <f>SUM(F27:F93)</f>
        <v>12766566</v>
      </c>
      <c r="G26" s="336">
        <f>+E26-D26</f>
        <v>-2640</v>
      </c>
      <c r="H26" s="348">
        <f>+G26/D26*100</f>
        <v>-73.333333333333329</v>
      </c>
      <c r="K26" s="14"/>
      <c r="L26" s="14"/>
      <c r="P26" s="76">
        <f>P27</f>
        <v>960000</v>
      </c>
      <c r="Q26" s="16" t="s">
        <v>261</v>
      </c>
      <c r="S26" s="50"/>
    </row>
    <row r="27" spans="1:19" s="12" customFormat="1" ht="17.100000000000001" customHeight="1">
      <c r="A27" s="56"/>
      <c r="B27" s="343"/>
      <c r="C27" s="403" t="s">
        <v>114</v>
      </c>
      <c r="D27" s="406">
        <v>3600</v>
      </c>
      <c r="E27" s="406">
        <f>P26/1000</f>
        <v>960</v>
      </c>
      <c r="F27" s="425">
        <v>10450</v>
      </c>
      <c r="G27" s="409">
        <f>+E27-D27</f>
        <v>-2640</v>
      </c>
      <c r="H27" s="412">
        <f>+G27/D27*100</f>
        <v>-73.333333333333329</v>
      </c>
      <c r="I27" s="468"/>
      <c r="J27" s="469"/>
      <c r="K27" s="339"/>
      <c r="L27" s="339"/>
      <c r="M27" s="443" t="s">
        <v>298</v>
      </c>
      <c r="N27" s="443"/>
      <c r="O27" s="443"/>
      <c r="P27" s="5">
        <f>SUM(P28:P30)</f>
        <v>960000</v>
      </c>
      <c r="Q27" s="6" t="s">
        <v>261</v>
      </c>
      <c r="S27" s="50"/>
    </row>
    <row r="28" spans="1:19" s="12" customFormat="1" ht="17.100000000000001" customHeight="1">
      <c r="A28" s="40"/>
      <c r="B28" s="343"/>
      <c r="C28" s="404"/>
      <c r="D28" s="407"/>
      <c r="E28" s="407"/>
      <c r="F28" s="426"/>
      <c r="G28" s="410"/>
      <c r="H28" s="413"/>
      <c r="I28" s="62" t="s">
        <v>363</v>
      </c>
      <c r="J28" s="11">
        <v>30000</v>
      </c>
      <c r="K28" s="14" t="s">
        <v>261</v>
      </c>
      <c r="L28" s="13" t="s">
        <v>277</v>
      </c>
      <c r="M28" s="598">
        <v>0</v>
      </c>
      <c r="N28" s="14" t="s">
        <v>296</v>
      </c>
      <c r="O28" s="15" t="s">
        <v>279</v>
      </c>
      <c r="P28" s="11">
        <f>J28*M28</f>
        <v>0</v>
      </c>
      <c r="Q28" s="16" t="s">
        <v>261</v>
      </c>
      <c r="S28" s="50"/>
    </row>
    <row r="29" spans="1:19" s="12" customFormat="1" ht="17.100000000000001" customHeight="1">
      <c r="A29" s="56"/>
      <c r="B29" s="343"/>
      <c r="C29" s="404"/>
      <c r="D29" s="407"/>
      <c r="E29" s="407"/>
      <c r="F29" s="426"/>
      <c r="G29" s="410"/>
      <c r="H29" s="413"/>
      <c r="I29" s="62" t="s">
        <v>31</v>
      </c>
      <c r="J29" s="11">
        <v>40000</v>
      </c>
      <c r="K29" s="14" t="s">
        <v>261</v>
      </c>
      <c r="L29" s="13" t="s">
        <v>277</v>
      </c>
      <c r="M29" s="598">
        <v>0</v>
      </c>
      <c r="N29" s="14" t="s">
        <v>296</v>
      </c>
      <c r="O29" s="15" t="s">
        <v>279</v>
      </c>
      <c r="P29" s="11">
        <f t="shared" ref="P29:P30" si="1">J29*M29</f>
        <v>0</v>
      </c>
      <c r="Q29" s="16" t="s">
        <v>261</v>
      </c>
      <c r="S29" s="50"/>
    </row>
    <row r="30" spans="1:19" s="12" customFormat="1" ht="17.100000000000001" customHeight="1">
      <c r="A30" s="77"/>
      <c r="B30" s="78"/>
      <c r="C30" s="405"/>
      <c r="D30" s="408"/>
      <c r="E30" s="408"/>
      <c r="F30" s="427"/>
      <c r="G30" s="411"/>
      <c r="H30" s="414"/>
      <c r="I30" s="79" t="s">
        <v>332</v>
      </c>
      <c r="J30" s="19">
        <v>20000</v>
      </c>
      <c r="K30" s="389" t="s">
        <v>261</v>
      </c>
      <c r="L30" s="21" t="s">
        <v>277</v>
      </c>
      <c r="M30" s="389">
        <v>48</v>
      </c>
      <c r="N30" s="389" t="s">
        <v>296</v>
      </c>
      <c r="O30" s="22" t="s">
        <v>279</v>
      </c>
      <c r="P30" s="19">
        <f t="shared" si="1"/>
        <v>960000</v>
      </c>
      <c r="Q30" s="23" t="s">
        <v>261</v>
      </c>
      <c r="S30" s="50"/>
    </row>
    <row r="31" spans="1:19" s="12" customFormat="1" ht="18.95" hidden="1" customHeight="1">
      <c r="A31" s="66" t="s">
        <v>104</v>
      </c>
      <c r="B31" s="437" t="s">
        <v>273</v>
      </c>
      <c r="C31" s="438"/>
      <c r="D31" s="67">
        <f t="shared" ref="D31:F32" si="2">SUM(D32)</f>
        <v>0</v>
      </c>
      <c r="E31" s="280">
        <f t="shared" si="2"/>
        <v>0</v>
      </c>
      <c r="F31" s="276">
        <f t="shared" si="2"/>
        <v>56700</v>
      </c>
      <c r="G31" s="277">
        <f t="shared" ref="G31:G33" si="3">+E31-D31</f>
        <v>0</v>
      </c>
      <c r="H31" s="71" t="e">
        <f>+G31/D31*100</f>
        <v>#DIV/0!</v>
      </c>
      <c r="I31" s="81"/>
      <c r="J31" s="81"/>
      <c r="K31" s="82"/>
      <c r="L31" s="82"/>
      <c r="M31" s="81"/>
      <c r="N31" s="81"/>
      <c r="O31" s="81"/>
      <c r="P31" s="73">
        <f>P32</f>
        <v>0</v>
      </c>
      <c r="Q31" s="74" t="s">
        <v>261</v>
      </c>
      <c r="S31" s="50"/>
    </row>
    <row r="32" spans="1:19" s="12" customFormat="1" ht="17.100000000000001" hidden="1" customHeight="1">
      <c r="A32" s="56"/>
      <c r="B32" s="57" t="s">
        <v>104</v>
      </c>
      <c r="C32" s="342" t="s">
        <v>284</v>
      </c>
      <c r="D32" s="83">
        <f>D33</f>
        <v>0</v>
      </c>
      <c r="E32" s="99">
        <f t="shared" si="2"/>
        <v>0</v>
      </c>
      <c r="F32" s="278">
        <f t="shared" si="2"/>
        <v>56700</v>
      </c>
      <c r="G32" s="279">
        <f t="shared" si="3"/>
        <v>0</v>
      </c>
      <c r="H32" s="348" t="e">
        <f>+G32/D32*100</f>
        <v>#DIV/0!</v>
      </c>
      <c r="I32" s="85"/>
      <c r="J32" s="72"/>
      <c r="K32" s="347"/>
      <c r="L32" s="347"/>
      <c r="M32" s="72"/>
      <c r="N32" s="72"/>
      <c r="O32" s="72"/>
      <c r="P32" s="86">
        <f>SUM(P33)</f>
        <v>0</v>
      </c>
      <c r="Q32" s="87" t="s">
        <v>261</v>
      </c>
      <c r="S32" s="50"/>
    </row>
    <row r="33" spans="1:21" s="12" customFormat="1" ht="17.100000000000001" hidden="1" customHeight="1">
      <c r="A33" s="56"/>
      <c r="B33" s="341"/>
      <c r="C33" s="421" t="s">
        <v>122</v>
      </c>
      <c r="D33" s="406">
        <v>0</v>
      </c>
      <c r="E33" s="446">
        <f>+P33/1000</f>
        <v>0</v>
      </c>
      <c r="F33" s="431">
        <v>56700</v>
      </c>
      <c r="G33" s="448">
        <f t="shared" si="3"/>
        <v>0</v>
      </c>
      <c r="H33" s="444" t="e">
        <f>+G33/D33*100</f>
        <v>#DIV/0!</v>
      </c>
      <c r="I33" s="88"/>
      <c r="K33" s="14"/>
      <c r="L33" s="14"/>
      <c r="M33" s="12" t="s">
        <v>298</v>
      </c>
      <c r="P33" s="76">
        <f>SUM(P34:P34)</f>
        <v>0</v>
      </c>
      <c r="Q33" s="16" t="s">
        <v>261</v>
      </c>
      <c r="S33" s="50"/>
    </row>
    <row r="34" spans="1:21" s="12" customFormat="1" ht="17.100000000000001" hidden="1" customHeight="1">
      <c r="A34" s="56"/>
      <c r="B34" s="341"/>
      <c r="C34" s="422"/>
      <c r="D34" s="407"/>
      <c r="E34" s="447"/>
      <c r="F34" s="432"/>
      <c r="G34" s="448"/>
      <c r="H34" s="445"/>
      <c r="I34" s="64" t="s">
        <v>242</v>
      </c>
      <c r="J34" s="50">
        <v>0</v>
      </c>
      <c r="K34" s="14" t="s">
        <v>261</v>
      </c>
      <c r="L34" s="13" t="s">
        <v>277</v>
      </c>
      <c r="M34" s="14">
        <v>1</v>
      </c>
      <c r="N34" s="14" t="s">
        <v>275</v>
      </c>
      <c r="O34" s="14" t="s">
        <v>279</v>
      </c>
      <c r="P34" s="50">
        <f>+M34*J34</f>
        <v>0</v>
      </c>
      <c r="Q34" s="16" t="s">
        <v>261</v>
      </c>
      <c r="S34" s="50"/>
    </row>
    <row r="35" spans="1:21" s="12" customFormat="1" ht="18.95" customHeight="1">
      <c r="A35" s="89" t="s">
        <v>268</v>
      </c>
      <c r="B35" s="438" t="s">
        <v>273</v>
      </c>
      <c r="C35" s="467"/>
      <c r="D35" s="67">
        <f>+D36+D53</f>
        <v>1530009</v>
      </c>
      <c r="E35" s="68">
        <f>+E36+E53</f>
        <v>1622328.7050000001</v>
      </c>
      <c r="F35" s="69">
        <f>+F36+F53</f>
        <v>1336159</v>
      </c>
      <c r="G35" s="70">
        <f>E35-D35</f>
        <v>92319.705000000075</v>
      </c>
      <c r="H35" s="71">
        <f>+G35/D35*100</f>
        <v>6.0339321533402792</v>
      </c>
      <c r="I35" s="72"/>
      <c r="J35" s="72"/>
      <c r="K35" s="72"/>
      <c r="L35" s="347"/>
      <c r="M35" s="72"/>
      <c r="N35" s="72"/>
      <c r="O35" s="72"/>
      <c r="P35" s="73">
        <f>SUM(P36,P53)</f>
        <v>1622328705</v>
      </c>
      <c r="Q35" s="74" t="s">
        <v>261</v>
      </c>
      <c r="S35" s="50"/>
    </row>
    <row r="36" spans="1:21" s="12" customFormat="1" ht="17.100000000000001" customHeight="1">
      <c r="A36" s="56"/>
      <c r="B36" s="352" t="s">
        <v>288</v>
      </c>
      <c r="C36" s="341" t="s">
        <v>284</v>
      </c>
      <c r="D36" s="332">
        <f>SUM(D37:D49)</f>
        <v>990618</v>
      </c>
      <c r="E36" s="334">
        <f>SUM(E37:E52)</f>
        <v>1090617.7050000001</v>
      </c>
      <c r="F36" s="329">
        <f>SUM(F37:F49)</f>
        <v>711605</v>
      </c>
      <c r="G36" s="53">
        <f>E36-D36</f>
        <v>99999.705000000075</v>
      </c>
      <c r="H36" s="348">
        <f>+G36/D36*100</f>
        <v>10.094678776279057</v>
      </c>
      <c r="L36" s="14"/>
      <c r="P36" s="76">
        <f>SUM(P37,P39,P44,P48)</f>
        <v>1090617705</v>
      </c>
      <c r="Q36" s="16" t="s">
        <v>261</v>
      </c>
      <c r="S36" s="50"/>
    </row>
    <row r="37" spans="1:21" s="12" customFormat="1" ht="17.100000000000001" customHeight="1">
      <c r="A37" s="56"/>
      <c r="B37" s="352" t="s">
        <v>268</v>
      </c>
      <c r="C37" s="452" t="s">
        <v>256</v>
      </c>
      <c r="D37" s="406">
        <v>356850</v>
      </c>
      <c r="E37" s="416">
        <f>P37/1000</f>
        <v>356850</v>
      </c>
      <c r="F37" s="425">
        <v>480000</v>
      </c>
      <c r="G37" s="409">
        <f>+E37-D37</f>
        <v>0</v>
      </c>
      <c r="H37" s="412">
        <f>+G37/D37*100</f>
        <v>0</v>
      </c>
      <c r="I37" s="59"/>
      <c r="J37" s="60"/>
      <c r="K37" s="9"/>
      <c r="L37" s="339"/>
      <c r="M37" s="339" t="s">
        <v>298</v>
      </c>
      <c r="N37" s="339"/>
      <c r="O37" s="339"/>
      <c r="P37" s="60">
        <f>SUM(P38:P38)</f>
        <v>356850000</v>
      </c>
      <c r="Q37" s="6" t="s">
        <v>261</v>
      </c>
      <c r="S37" s="50"/>
    </row>
    <row r="38" spans="1:21" s="12" customFormat="1" ht="17.100000000000001" customHeight="1">
      <c r="A38" s="56"/>
      <c r="B38" s="343"/>
      <c r="C38" s="422"/>
      <c r="D38" s="407"/>
      <c r="E38" s="417"/>
      <c r="F38" s="427"/>
      <c r="G38" s="410"/>
      <c r="H38" s="413"/>
      <c r="I38" s="64" t="s">
        <v>82</v>
      </c>
      <c r="J38" s="286">
        <v>178425000</v>
      </c>
      <c r="K38" s="14" t="s">
        <v>261</v>
      </c>
      <c r="L38" s="13" t="s">
        <v>277</v>
      </c>
      <c r="M38" s="14">
        <v>2</v>
      </c>
      <c r="N38" s="14" t="s">
        <v>275</v>
      </c>
      <c r="O38" s="15" t="s">
        <v>279</v>
      </c>
      <c r="P38" s="11">
        <f>SUM(J38*M38)</f>
        <v>356850000</v>
      </c>
      <c r="Q38" s="16" t="s">
        <v>261</v>
      </c>
      <c r="S38" s="50"/>
    </row>
    <row r="39" spans="1:21" s="12" customFormat="1" ht="17.100000000000001" customHeight="1">
      <c r="A39" s="56"/>
      <c r="B39" s="343"/>
      <c r="C39" s="452" t="s">
        <v>251</v>
      </c>
      <c r="D39" s="406">
        <v>52392</v>
      </c>
      <c r="E39" s="416">
        <f>P39/1000</f>
        <v>52392</v>
      </c>
      <c r="F39" s="425">
        <v>79390</v>
      </c>
      <c r="G39" s="409">
        <f>+E39-D39</f>
        <v>0</v>
      </c>
      <c r="H39" s="412">
        <f>+G39/D39*100</f>
        <v>0</v>
      </c>
      <c r="I39" s="90"/>
      <c r="J39" s="60"/>
      <c r="K39" s="339"/>
      <c r="L39" s="339"/>
      <c r="M39" s="415" t="s">
        <v>298</v>
      </c>
      <c r="N39" s="415"/>
      <c r="O39" s="415"/>
      <c r="P39" s="60">
        <f>SUM(P40:P43)</f>
        <v>52392000</v>
      </c>
      <c r="Q39" s="6" t="s">
        <v>261</v>
      </c>
      <c r="S39" s="50"/>
    </row>
    <row r="40" spans="1:21" s="12" customFormat="1" ht="17.100000000000001" customHeight="1">
      <c r="A40" s="56"/>
      <c r="B40" s="343"/>
      <c r="C40" s="422"/>
      <c r="D40" s="407"/>
      <c r="E40" s="417"/>
      <c r="F40" s="426"/>
      <c r="G40" s="410"/>
      <c r="H40" s="413"/>
      <c r="I40" s="91" t="s">
        <v>221</v>
      </c>
      <c r="J40" s="92">
        <v>3000000</v>
      </c>
      <c r="K40" s="93" t="s">
        <v>261</v>
      </c>
      <c r="L40" s="94" t="s">
        <v>277</v>
      </c>
      <c r="M40" s="93">
        <v>12</v>
      </c>
      <c r="N40" s="93" t="s">
        <v>276</v>
      </c>
      <c r="O40" s="95" t="s">
        <v>279</v>
      </c>
      <c r="P40" s="92">
        <f>SUM(J40*M40)</f>
        <v>36000000</v>
      </c>
      <c r="Q40" s="96" t="s">
        <v>261</v>
      </c>
      <c r="R40" s="50"/>
      <c r="S40" s="11"/>
      <c r="T40" s="11"/>
    </row>
    <row r="41" spans="1:21" s="12" customFormat="1" ht="17.100000000000001" customHeight="1">
      <c r="A41" s="56"/>
      <c r="B41" s="343"/>
      <c r="C41" s="422"/>
      <c r="D41" s="407"/>
      <c r="E41" s="417"/>
      <c r="F41" s="329"/>
      <c r="G41" s="410"/>
      <c r="H41" s="413"/>
      <c r="I41" s="62" t="s">
        <v>324</v>
      </c>
      <c r="J41" s="11">
        <v>746000</v>
      </c>
      <c r="K41" s="14" t="s">
        <v>261</v>
      </c>
      <c r="L41" s="13" t="s">
        <v>277</v>
      </c>
      <c r="M41" s="14">
        <v>12</v>
      </c>
      <c r="N41" s="14" t="s">
        <v>276</v>
      </c>
      <c r="O41" s="15" t="s">
        <v>279</v>
      </c>
      <c r="P41" s="11">
        <f>SUM(J41*M41)</f>
        <v>8952000</v>
      </c>
      <c r="Q41" s="16" t="s">
        <v>261</v>
      </c>
      <c r="R41" s="50"/>
      <c r="S41" s="11"/>
      <c r="T41" s="11"/>
    </row>
    <row r="42" spans="1:21" s="12" customFormat="1" ht="17.100000000000001" customHeight="1">
      <c r="A42" s="56"/>
      <c r="B42" s="343"/>
      <c r="C42" s="422"/>
      <c r="D42" s="407"/>
      <c r="E42" s="417"/>
      <c r="F42" s="329"/>
      <c r="G42" s="410"/>
      <c r="H42" s="413"/>
      <c r="I42" s="64" t="s">
        <v>349</v>
      </c>
      <c r="J42" s="11">
        <v>600000</v>
      </c>
      <c r="K42" s="14" t="s">
        <v>261</v>
      </c>
      <c r="L42" s="13" t="s">
        <v>277</v>
      </c>
      <c r="M42" s="14">
        <v>12</v>
      </c>
      <c r="N42" s="14" t="s">
        <v>401</v>
      </c>
      <c r="O42" s="15" t="s">
        <v>279</v>
      </c>
      <c r="P42" s="11">
        <f>SUM(J42*M42)</f>
        <v>7200000</v>
      </c>
      <c r="Q42" s="16" t="s">
        <v>261</v>
      </c>
      <c r="R42" s="50"/>
      <c r="S42" s="11"/>
      <c r="T42" s="11"/>
    </row>
    <row r="43" spans="1:21" s="12" customFormat="1" ht="17.100000000000001" customHeight="1">
      <c r="A43" s="56"/>
      <c r="B43" s="343"/>
      <c r="C43" s="423"/>
      <c r="D43" s="408"/>
      <c r="E43" s="424"/>
      <c r="F43" s="330"/>
      <c r="G43" s="411"/>
      <c r="H43" s="414"/>
      <c r="I43" s="79" t="s">
        <v>326</v>
      </c>
      <c r="J43" s="19">
        <v>20000</v>
      </c>
      <c r="K43" s="389" t="s">
        <v>261</v>
      </c>
      <c r="L43" s="21" t="s">
        <v>277</v>
      </c>
      <c r="M43" s="389">
        <v>12</v>
      </c>
      <c r="N43" s="389" t="s">
        <v>275</v>
      </c>
      <c r="O43" s="22" t="s">
        <v>279</v>
      </c>
      <c r="P43" s="19">
        <f>SUM(J43*M43)</f>
        <v>240000</v>
      </c>
      <c r="Q43" s="23" t="s">
        <v>261</v>
      </c>
      <c r="R43" s="50"/>
      <c r="S43" s="11"/>
    </row>
    <row r="44" spans="1:21" s="12" customFormat="1" ht="17.100000000000001" customHeight="1">
      <c r="A44" s="56"/>
      <c r="B44" s="343"/>
      <c r="C44" s="403" t="s">
        <v>74</v>
      </c>
      <c r="D44" s="406">
        <v>418008</v>
      </c>
      <c r="E44" s="406">
        <f>+P44/1000</f>
        <v>418007.70500000002</v>
      </c>
      <c r="F44" s="425">
        <v>90435</v>
      </c>
      <c r="G44" s="409">
        <f>+E44-D44</f>
        <v>-0.29499999998370185</v>
      </c>
      <c r="H44" s="412">
        <f>+G44/D44*100</f>
        <v>-7.0572811999699021E-5</v>
      </c>
      <c r="I44" s="59"/>
      <c r="J44" s="8"/>
      <c r="K44" s="339"/>
      <c r="L44" s="339"/>
      <c r="M44" s="415" t="s">
        <v>298</v>
      </c>
      <c r="N44" s="415"/>
      <c r="O44" s="415"/>
      <c r="P44" s="8">
        <f>SUM(P45:P47)</f>
        <v>418007705</v>
      </c>
      <c r="Q44" s="6" t="s">
        <v>261</v>
      </c>
      <c r="S44" s="11"/>
    </row>
    <row r="45" spans="1:21" s="12" customFormat="1" ht="17.100000000000001" customHeight="1">
      <c r="A45" s="56"/>
      <c r="B45" s="343"/>
      <c r="C45" s="404"/>
      <c r="D45" s="407"/>
      <c r="E45" s="407"/>
      <c r="F45" s="426"/>
      <c r="G45" s="410"/>
      <c r="H45" s="413"/>
      <c r="I45" s="64" t="s">
        <v>389</v>
      </c>
      <c r="J45" s="11">
        <v>12500000</v>
      </c>
      <c r="K45" s="14" t="s">
        <v>261</v>
      </c>
      <c r="L45" s="13" t="s">
        <v>277</v>
      </c>
      <c r="M45" s="14">
        <v>12</v>
      </c>
      <c r="N45" s="14" t="s">
        <v>276</v>
      </c>
      <c r="O45" s="15" t="s">
        <v>279</v>
      </c>
      <c r="P45" s="11">
        <f>SUM(J45*M45)</f>
        <v>150000000</v>
      </c>
      <c r="Q45" s="16" t="s">
        <v>261</v>
      </c>
      <c r="R45" s="11"/>
      <c r="S45" s="11"/>
    </row>
    <row r="46" spans="1:21" s="12" customFormat="1" ht="17.100000000000001" customHeight="1">
      <c r="A46" s="56"/>
      <c r="B46" s="343"/>
      <c r="C46" s="404"/>
      <c r="D46" s="407"/>
      <c r="E46" s="407"/>
      <c r="F46" s="329"/>
      <c r="G46" s="410"/>
      <c r="H46" s="413"/>
      <c r="I46" s="64" t="s">
        <v>318</v>
      </c>
      <c r="J46" s="11">
        <v>10000000</v>
      </c>
      <c r="K46" s="14" t="s">
        <v>261</v>
      </c>
      <c r="L46" s="13" t="s">
        <v>277</v>
      </c>
      <c r="M46" s="14">
        <v>2</v>
      </c>
      <c r="N46" s="14" t="s">
        <v>275</v>
      </c>
      <c r="O46" s="15" t="s">
        <v>285</v>
      </c>
      <c r="P46" s="11">
        <f>SUM(J46*M46)</f>
        <v>20000000</v>
      </c>
      <c r="Q46" s="16" t="s">
        <v>261</v>
      </c>
      <c r="R46" s="480"/>
      <c r="S46" s="481"/>
      <c r="T46" s="481"/>
      <c r="U46" s="481"/>
    </row>
    <row r="47" spans="1:21" s="12" customFormat="1" ht="17.100000000000001" customHeight="1">
      <c r="A47" s="56"/>
      <c r="B47" s="343"/>
      <c r="C47" s="405"/>
      <c r="D47" s="408"/>
      <c r="E47" s="408"/>
      <c r="F47" s="329"/>
      <c r="G47" s="411"/>
      <c r="H47" s="414"/>
      <c r="I47" s="64" t="s">
        <v>434</v>
      </c>
      <c r="J47" s="11">
        <v>82669235</v>
      </c>
      <c r="K47" s="14" t="s">
        <v>261</v>
      </c>
      <c r="L47" s="13" t="s">
        <v>277</v>
      </c>
      <c r="M47" s="14">
        <v>3</v>
      </c>
      <c r="N47" s="14" t="s">
        <v>275</v>
      </c>
      <c r="O47" s="15" t="s">
        <v>285</v>
      </c>
      <c r="P47" s="11">
        <f>SUM(J47*M47)</f>
        <v>248007705</v>
      </c>
      <c r="Q47" s="16" t="s">
        <v>261</v>
      </c>
      <c r="R47" s="346"/>
      <c r="S47" s="346"/>
      <c r="T47" s="346"/>
      <c r="U47" s="346"/>
    </row>
    <row r="48" spans="1:21" s="12" customFormat="1" ht="17.100000000000001" customHeight="1">
      <c r="A48" s="40"/>
      <c r="B48" s="352"/>
      <c r="C48" s="421" t="s">
        <v>170</v>
      </c>
      <c r="D48" s="406">
        <v>163368</v>
      </c>
      <c r="E48" s="446">
        <f>(P48/1000)</f>
        <v>263368</v>
      </c>
      <c r="F48" s="328">
        <v>61780</v>
      </c>
      <c r="G48" s="409">
        <f>+E48-D48</f>
        <v>100000</v>
      </c>
      <c r="H48" s="412">
        <f>G48/D48*100</f>
        <v>61.211497967778271</v>
      </c>
      <c r="I48" s="90"/>
      <c r="J48" s="60"/>
      <c r="K48" s="339"/>
      <c r="L48" s="339"/>
      <c r="M48" s="415" t="s">
        <v>298</v>
      </c>
      <c r="N48" s="415"/>
      <c r="O48" s="415"/>
      <c r="P48" s="60">
        <f>SUM(P49:P52)</f>
        <v>263368000</v>
      </c>
      <c r="Q48" s="6" t="s">
        <v>261</v>
      </c>
      <c r="S48" s="50"/>
    </row>
    <row r="49" spans="1:23" s="12" customFormat="1" ht="17.100000000000001" customHeight="1">
      <c r="A49" s="40"/>
      <c r="B49" s="352"/>
      <c r="C49" s="422"/>
      <c r="D49" s="407"/>
      <c r="E49" s="447"/>
      <c r="F49" s="329"/>
      <c r="G49" s="410"/>
      <c r="H49" s="413"/>
      <c r="I49" s="64" t="s">
        <v>245</v>
      </c>
      <c r="J49" s="11">
        <v>100000000</v>
      </c>
      <c r="K49" s="14" t="s">
        <v>261</v>
      </c>
      <c r="L49" s="13" t="s">
        <v>277</v>
      </c>
      <c r="M49" s="14">
        <v>1</v>
      </c>
      <c r="N49" s="14" t="s">
        <v>275</v>
      </c>
      <c r="O49" s="15" t="s">
        <v>279</v>
      </c>
      <c r="P49" s="11">
        <f>SUM(J49*M49)</f>
        <v>100000000</v>
      </c>
      <c r="Q49" s="16" t="s">
        <v>261</v>
      </c>
      <c r="S49" s="11"/>
    </row>
    <row r="50" spans="1:23" s="12" customFormat="1" ht="17.100000000000001" customHeight="1">
      <c r="A50" s="40"/>
      <c r="B50" s="352"/>
      <c r="C50" s="422"/>
      <c r="D50" s="407"/>
      <c r="E50" s="447"/>
      <c r="F50" s="329"/>
      <c r="G50" s="410"/>
      <c r="H50" s="413"/>
      <c r="I50" s="64" t="s">
        <v>474</v>
      </c>
      <c r="J50" s="11">
        <v>50000000</v>
      </c>
      <c r="K50" s="14" t="s">
        <v>475</v>
      </c>
      <c r="L50" s="13" t="s">
        <v>277</v>
      </c>
      <c r="M50" s="14">
        <v>1</v>
      </c>
      <c r="N50" s="14" t="s">
        <v>275</v>
      </c>
      <c r="O50" s="15" t="s">
        <v>279</v>
      </c>
      <c r="P50" s="11">
        <v>50000000</v>
      </c>
      <c r="Q50" s="16" t="s">
        <v>475</v>
      </c>
      <c r="S50" s="11"/>
    </row>
    <row r="51" spans="1:23" s="12" customFormat="1" ht="17.100000000000001" customHeight="1">
      <c r="A51" s="56"/>
      <c r="B51" s="343"/>
      <c r="C51" s="422"/>
      <c r="D51" s="407"/>
      <c r="E51" s="447"/>
      <c r="F51" s="329"/>
      <c r="G51" s="410"/>
      <c r="H51" s="413"/>
      <c r="I51" s="62" t="s">
        <v>14</v>
      </c>
      <c r="J51" s="11">
        <v>40000000</v>
      </c>
      <c r="K51" s="14" t="s">
        <v>261</v>
      </c>
      <c r="L51" s="13" t="s">
        <v>277</v>
      </c>
      <c r="M51" s="14">
        <v>2</v>
      </c>
      <c r="N51" s="14" t="s">
        <v>275</v>
      </c>
      <c r="O51" s="15" t="s">
        <v>279</v>
      </c>
      <c r="P51" s="11">
        <f>SUM(J51*M51)</f>
        <v>80000000</v>
      </c>
      <c r="Q51" s="16" t="s">
        <v>261</v>
      </c>
      <c r="R51" s="12" t="s">
        <v>0</v>
      </c>
      <c r="S51" s="11"/>
    </row>
    <row r="52" spans="1:23" s="12" customFormat="1" ht="17.100000000000001" customHeight="1">
      <c r="A52" s="56"/>
      <c r="B52" s="98"/>
      <c r="C52" s="476"/>
      <c r="D52" s="477"/>
      <c r="E52" s="465"/>
      <c r="F52" s="349"/>
      <c r="G52" s="471"/>
      <c r="H52" s="482"/>
      <c r="I52" s="287" t="s">
        <v>331</v>
      </c>
      <c r="J52" s="288">
        <v>8342000</v>
      </c>
      <c r="K52" s="289" t="s">
        <v>261</v>
      </c>
      <c r="L52" s="290" t="s">
        <v>277</v>
      </c>
      <c r="M52" s="289">
        <v>4</v>
      </c>
      <c r="N52" s="289" t="s">
        <v>275</v>
      </c>
      <c r="O52" s="291" t="s">
        <v>279</v>
      </c>
      <c r="P52" s="288">
        <f>SUM(J52*M52)</f>
        <v>33368000</v>
      </c>
      <c r="Q52" s="292" t="s">
        <v>261</v>
      </c>
      <c r="S52" s="11"/>
    </row>
    <row r="53" spans="1:23" ht="17.100000000000001" customHeight="1">
      <c r="A53" s="40"/>
      <c r="B53" s="352" t="s">
        <v>295</v>
      </c>
      <c r="C53" s="341" t="s">
        <v>284</v>
      </c>
      <c r="D53" s="332">
        <f>SUM(D54:D64)</f>
        <v>539391</v>
      </c>
      <c r="E53" s="334">
        <f>SUM(E54:E64)</f>
        <v>531711</v>
      </c>
      <c r="F53" s="329">
        <f>SUM(F54:F64)</f>
        <v>624554</v>
      </c>
      <c r="G53" s="336">
        <f>+E53-D53</f>
        <v>-7680</v>
      </c>
      <c r="H53" s="338">
        <f>+G53/D53*100</f>
        <v>-1.4238279837817094</v>
      </c>
      <c r="I53" s="12"/>
      <c r="J53" s="12"/>
      <c r="K53" s="14"/>
      <c r="L53" s="14"/>
      <c r="M53" s="12"/>
      <c r="N53" s="12"/>
      <c r="O53" s="12"/>
      <c r="P53" s="76">
        <f>SUM(P54,P56)</f>
        <v>531711000</v>
      </c>
      <c r="Q53" s="16" t="s">
        <v>261</v>
      </c>
      <c r="S53" s="11"/>
      <c r="T53" s="12"/>
      <c r="U53" s="12"/>
      <c r="V53" s="12"/>
      <c r="W53" s="12"/>
    </row>
    <row r="54" spans="1:23" ht="17.100000000000001" customHeight="1">
      <c r="A54" s="56"/>
      <c r="B54" s="352" t="s">
        <v>268</v>
      </c>
      <c r="C54" s="466" t="s">
        <v>138</v>
      </c>
      <c r="D54" s="406">
        <v>30000</v>
      </c>
      <c r="E54" s="416">
        <f>+P54/1000</f>
        <v>33000</v>
      </c>
      <c r="F54" s="425">
        <v>72575</v>
      </c>
      <c r="G54" s="409">
        <f>+E54-D54</f>
        <v>3000</v>
      </c>
      <c r="H54" s="444">
        <f>G54/D54*100</f>
        <v>10</v>
      </c>
      <c r="I54" s="59"/>
      <c r="J54" s="8"/>
      <c r="K54" s="339"/>
      <c r="L54" s="339"/>
      <c r="M54" s="415" t="s">
        <v>298</v>
      </c>
      <c r="N54" s="415"/>
      <c r="O54" s="415"/>
      <c r="P54" s="8">
        <f>SUM(P55:P55)</f>
        <v>33000000</v>
      </c>
      <c r="Q54" s="6" t="s">
        <v>261</v>
      </c>
      <c r="S54" s="11"/>
      <c r="T54" s="12"/>
      <c r="U54" s="12"/>
      <c r="V54" s="12"/>
      <c r="W54" s="12"/>
    </row>
    <row r="55" spans="1:23" ht="17.100000000000001" customHeight="1">
      <c r="A55" s="56"/>
      <c r="B55" s="343"/>
      <c r="C55" s="466"/>
      <c r="D55" s="408"/>
      <c r="E55" s="424"/>
      <c r="F55" s="427"/>
      <c r="G55" s="411"/>
      <c r="H55" s="483"/>
      <c r="I55" s="262" t="s">
        <v>28</v>
      </c>
      <c r="J55" s="19">
        <v>100000</v>
      </c>
      <c r="K55" s="389" t="s">
        <v>261</v>
      </c>
      <c r="L55" s="21" t="s">
        <v>277</v>
      </c>
      <c r="M55" s="599">
        <v>330</v>
      </c>
      <c r="N55" s="389" t="s">
        <v>275</v>
      </c>
      <c r="O55" s="22" t="s">
        <v>279</v>
      </c>
      <c r="P55" s="19">
        <f>J55*M55</f>
        <v>33000000</v>
      </c>
      <c r="Q55" s="23" t="s">
        <v>261</v>
      </c>
      <c r="S55" s="11"/>
      <c r="T55" s="12"/>
      <c r="U55" s="12"/>
      <c r="V55" s="12"/>
      <c r="W55" s="12"/>
    </row>
    <row r="56" spans="1:23" ht="17.100000000000001" customHeight="1">
      <c r="A56" s="40"/>
      <c r="B56" s="352"/>
      <c r="C56" s="484" t="s">
        <v>197</v>
      </c>
      <c r="D56" s="406">
        <v>509391</v>
      </c>
      <c r="E56" s="446">
        <f>P56/1000</f>
        <v>498711</v>
      </c>
      <c r="F56" s="425">
        <v>551979</v>
      </c>
      <c r="G56" s="409">
        <f>+E56-D56</f>
        <v>-10680</v>
      </c>
      <c r="H56" s="412">
        <f>+G56/D56*100</f>
        <v>-2.0966212595039959</v>
      </c>
      <c r="I56" s="59"/>
      <c r="J56" s="8"/>
      <c r="K56" s="339"/>
      <c r="L56" s="339"/>
      <c r="M56" s="339" t="s">
        <v>298</v>
      </c>
      <c r="N56" s="339"/>
      <c r="O56" s="339"/>
      <c r="P56" s="8">
        <f>SUM(P57:P64)</f>
        <v>498711000</v>
      </c>
      <c r="Q56" s="6" t="s">
        <v>261</v>
      </c>
      <c r="S56" s="11"/>
      <c r="T56" s="11"/>
      <c r="U56" s="12"/>
      <c r="V56" s="12"/>
      <c r="W56" s="12"/>
    </row>
    <row r="57" spans="1:23" ht="17.100000000000001" customHeight="1">
      <c r="A57" s="40"/>
      <c r="B57" s="352"/>
      <c r="C57" s="466"/>
      <c r="D57" s="407"/>
      <c r="E57" s="447"/>
      <c r="F57" s="426"/>
      <c r="G57" s="410">
        <f>+D57-E57</f>
        <v>0</v>
      </c>
      <c r="H57" s="413" t="e">
        <f>+G57/D57*100</f>
        <v>#DIV/0!</v>
      </c>
      <c r="I57" s="64" t="s">
        <v>191</v>
      </c>
      <c r="J57" s="298">
        <v>7000000</v>
      </c>
      <c r="K57" s="390" t="s">
        <v>261</v>
      </c>
      <c r="L57" s="299" t="s">
        <v>277</v>
      </c>
      <c r="M57" s="390">
        <v>12</v>
      </c>
      <c r="N57" s="390" t="s">
        <v>276</v>
      </c>
      <c r="O57" s="300" t="s">
        <v>279</v>
      </c>
      <c r="P57" s="298">
        <f>J57*M57</f>
        <v>84000000</v>
      </c>
      <c r="Q57" s="16" t="s">
        <v>261</v>
      </c>
      <c r="S57" s="11"/>
      <c r="T57" s="12"/>
      <c r="U57" s="12"/>
      <c r="V57" s="12"/>
      <c r="W57" s="12"/>
    </row>
    <row r="58" spans="1:23" ht="17.100000000000001" customHeight="1">
      <c r="A58" s="56"/>
      <c r="B58" s="343"/>
      <c r="C58" s="421"/>
      <c r="D58" s="407"/>
      <c r="E58" s="447"/>
      <c r="F58" s="426"/>
      <c r="G58" s="410"/>
      <c r="H58" s="413" t="e">
        <f>+G58/D58*100</f>
        <v>#DIV/0!</v>
      </c>
      <c r="I58" s="64" t="s">
        <v>297</v>
      </c>
      <c r="J58" s="298">
        <v>23690000</v>
      </c>
      <c r="K58" s="390" t="s">
        <v>261</v>
      </c>
      <c r="L58" s="299" t="s">
        <v>277</v>
      </c>
      <c r="M58" s="390">
        <v>12</v>
      </c>
      <c r="N58" s="390" t="s">
        <v>276</v>
      </c>
      <c r="O58" s="300" t="s">
        <v>279</v>
      </c>
      <c r="P58" s="298">
        <f>SUM(J58*M58)</f>
        <v>284280000</v>
      </c>
      <c r="Q58" s="16" t="s">
        <v>261</v>
      </c>
      <c r="S58" s="11"/>
      <c r="T58" s="12"/>
      <c r="U58" s="12"/>
      <c r="V58" s="12"/>
      <c r="W58" s="12"/>
    </row>
    <row r="59" spans="1:23" ht="17.100000000000001" customHeight="1">
      <c r="A59" s="56"/>
      <c r="B59" s="343"/>
      <c r="C59" s="421"/>
      <c r="D59" s="407"/>
      <c r="E59" s="447"/>
      <c r="F59" s="426"/>
      <c r="G59" s="410"/>
      <c r="H59" s="413"/>
      <c r="I59" s="306" t="s">
        <v>246</v>
      </c>
      <c r="J59" s="298">
        <v>3400000</v>
      </c>
      <c r="K59" s="390" t="s">
        <v>261</v>
      </c>
      <c r="L59" s="299" t="s">
        <v>277</v>
      </c>
      <c r="M59" s="390">
        <v>12</v>
      </c>
      <c r="N59" s="390" t="s">
        <v>275</v>
      </c>
      <c r="O59" s="300" t="s">
        <v>279</v>
      </c>
      <c r="P59" s="298">
        <f>SUM(J59*M59)</f>
        <v>40800000</v>
      </c>
      <c r="Q59" s="16" t="s">
        <v>261</v>
      </c>
      <c r="S59" s="11"/>
      <c r="T59" s="12"/>
      <c r="U59" s="12"/>
      <c r="V59" s="12"/>
      <c r="W59" s="12"/>
    </row>
    <row r="60" spans="1:23" ht="17.100000000000001" customHeight="1">
      <c r="A60" s="56"/>
      <c r="B60" s="343"/>
      <c r="C60" s="421"/>
      <c r="D60" s="407"/>
      <c r="E60" s="447"/>
      <c r="F60" s="426"/>
      <c r="G60" s="410"/>
      <c r="H60" s="413"/>
      <c r="I60" s="306" t="s">
        <v>255</v>
      </c>
      <c r="J60" s="298">
        <v>2400000</v>
      </c>
      <c r="K60" s="390" t="s">
        <v>261</v>
      </c>
      <c r="L60" s="299" t="s">
        <v>277</v>
      </c>
      <c r="M60" s="390">
        <v>12</v>
      </c>
      <c r="N60" s="390" t="s">
        <v>275</v>
      </c>
      <c r="O60" s="300" t="s">
        <v>279</v>
      </c>
      <c r="P60" s="298">
        <f>SUM(J60*M60)</f>
        <v>28800000</v>
      </c>
      <c r="Q60" s="16" t="s">
        <v>261</v>
      </c>
      <c r="S60" s="11"/>
      <c r="T60" s="12"/>
      <c r="U60" s="12"/>
      <c r="V60" s="12"/>
      <c r="W60" s="12"/>
    </row>
    <row r="61" spans="1:23" ht="17.100000000000001" customHeight="1">
      <c r="A61" s="56"/>
      <c r="B61" s="343"/>
      <c r="C61" s="421"/>
      <c r="D61" s="407"/>
      <c r="E61" s="447"/>
      <c r="F61" s="426"/>
      <c r="G61" s="410"/>
      <c r="H61" s="413"/>
      <c r="I61" s="64" t="s">
        <v>110</v>
      </c>
      <c r="J61" s="298">
        <v>1300000</v>
      </c>
      <c r="K61" s="390" t="s">
        <v>261</v>
      </c>
      <c r="L61" s="299" t="s">
        <v>277</v>
      </c>
      <c r="M61" s="390">
        <v>12</v>
      </c>
      <c r="N61" s="390" t="s">
        <v>275</v>
      </c>
      <c r="O61" s="300" t="s">
        <v>279</v>
      </c>
      <c r="P61" s="298">
        <f>SUM(J61*M61)</f>
        <v>15600000</v>
      </c>
      <c r="Q61" s="49" t="s">
        <v>261</v>
      </c>
      <c r="S61" s="11"/>
      <c r="T61" s="12"/>
      <c r="U61" s="12"/>
      <c r="V61" s="12"/>
      <c r="W61" s="12"/>
    </row>
    <row r="62" spans="1:23" ht="17.100000000000001" customHeight="1">
      <c r="A62" s="56"/>
      <c r="B62" s="343"/>
      <c r="C62" s="421"/>
      <c r="D62" s="407"/>
      <c r="E62" s="447"/>
      <c r="F62" s="426"/>
      <c r="G62" s="410"/>
      <c r="H62" s="413"/>
      <c r="I62" s="64" t="s">
        <v>180</v>
      </c>
      <c r="J62" s="298">
        <v>42231000</v>
      </c>
      <c r="K62" s="390" t="s">
        <v>261</v>
      </c>
      <c r="L62" s="299" t="s">
        <v>277</v>
      </c>
      <c r="M62" s="390">
        <v>1</v>
      </c>
      <c r="N62" s="390" t="s">
        <v>275</v>
      </c>
      <c r="O62" s="300" t="s">
        <v>279</v>
      </c>
      <c r="P62" s="298">
        <f>J62*M62</f>
        <v>42231000</v>
      </c>
      <c r="Q62" s="49" t="s">
        <v>261</v>
      </c>
      <c r="S62" s="11"/>
      <c r="T62" s="12"/>
      <c r="U62" s="12"/>
      <c r="V62" s="12"/>
      <c r="W62" s="12"/>
    </row>
    <row r="63" spans="1:23" ht="17.100000000000001" customHeight="1">
      <c r="A63" s="56"/>
      <c r="B63" s="343"/>
      <c r="C63" s="421"/>
      <c r="D63" s="407"/>
      <c r="E63" s="447"/>
      <c r="F63" s="426"/>
      <c r="G63" s="410"/>
      <c r="H63" s="413" t="e">
        <f>+G63/D63*100</f>
        <v>#DIV/0!</v>
      </c>
      <c r="I63" s="64" t="s">
        <v>165</v>
      </c>
      <c r="J63" s="298">
        <v>200000</v>
      </c>
      <c r="K63" s="390" t="s">
        <v>261</v>
      </c>
      <c r="L63" s="299" t="s">
        <v>277</v>
      </c>
      <c r="M63" s="390">
        <v>12</v>
      </c>
      <c r="N63" s="390" t="s">
        <v>275</v>
      </c>
      <c r="O63" s="300" t="s">
        <v>279</v>
      </c>
      <c r="P63" s="298">
        <f>SUM(J63*M63)</f>
        <v>2400000</v>
      </c>
      <c r="Q63" s="49" t="s">
        <v>261</v>
      </c>
      <c r="S63" s="11"/>
      <c r="T63" s="12"/>
      <c r="U63" s="12"/>
      <c r="V63" s="12"/>
      <c r="W63" s="12"/>
    </row>
    <row r="64" spans="1:23" ht="17.100000000000001" customHeight="1">
      <c r="A64" s="101"/>
      <c r="B64" s="344"/>
      <c r="C64" s="466"/>
      <c r="D64" s="408"/>
      <c r="E64" s="485"/>
      <c r="F64" s="427"/>
      <c r="G64" s="411"/>
      <c r="H64" s="414"/>
      <c r="I64" s="79" t="s">
        <v>11</v>
      </c>
      <c r="J64" s="19">
        <v>50000</v>
      </c>
      <c r="K64" s="389" t="s">
        <v>261</v>
      </c>
      <c r="L64" s="21" t="s">
        <v>277</v>
      </c>
      <c r="M64" s="389">
        <v>12</v>
      </c>
      <c r="N64" s="389" t="s">
        <v>275</v>
      </c>
      <c r="O64" s="22" t="s">
        <v>279</v>
      </c>
      <c r="P64" s="19">
        <f>J64*M64</f>
        <v>600000</v>
      </c>
      <c r="Q64" s="23" t="s">
        <v>261</v>
      </c>
      <c r="S64" s="11"/>
      <c r="T64" s="12"/>
      <c r="U64" s="12"/>
      <c r="V64" s="12"/>
      <c r="W64" s="12"/>
    </row>
    <row r="65" spans="1:23" ht="18.95" customHeight="1">
      <c r="A65" s="89" t="s">
        <v>282</v>
      </c>
      <c r="B65" s="437" t="s">
        <v>273</v>
      </c>
      <c r="C65" s="438"/>
      <c r="D65" s="67">
        <f>SUM(D66)</f>
        <v>2539745</v>
      </c>
      <c r="E65" s="68">
        <f>SUM(E66)</f>
        <v>2803332.7008799999</v>
      </c>
      <c r="F65" s="80">
        <f>SUM(F66)</f>
        <v>875385</v>
      </c>
      <c r="G65" s="70">
        <f>+E65-D65</f>
        <v>263587.7008799999</v>
      </c>
      <c r="H65" s="71">
        <f>+G65/D65*100</f>
        <v>10.378510475657986</v>
      </c>
      <c r="I65" s="72"/>
      <c r="J65" s="72"/>
      <c r="K65" s="347"/>
      <c r="L65" s="347"/>
      <c r="M65" s="72"/>
      <c r="N65" s="72"/>
      <c r="O65" s="72"/>
      <c r="P65" s="73">
        <f>P66</f>
        <v>2803332700.8800001</v>
      </c>
      <c r="Q65" s="74" t="s">
        <v>261</v>
      </c>
      <c r="S65" s="11"/>
      <c r="T65" s="12"/>
      <c r="U65" s="12"/>
      <c r="V65" s="12"/>
      <c r="W65" s="12"/>
    </row>
    <row r="66" spans="1:23" ht="17.100000000000001" customHeight="1">
      <c r="A66" s="56"/>
      <c r="B66" s="352" t="s">
        <v>282</v>
      </c>
      <c r="C66" s="342" t="s">
        <v>284</v>
      </c>
      <c r="D66" s="83">
        <f>SUM(D67:D79)</f>
        <v>2539745</v>
      </c>
      <c r="E66" s="99">
        <f>P66/1000</f>
        <v>2803332.7008799999</v>
      </c>
      <c r="F66" s="260">
        <f>SUM(F67:F69)</f>
        <v>875385</v>
      </c>
      <c r="G66" s="53">
        <f>+E66-D66</f>
        <v>263587.7008799999</v>
      </c>
      <c r="H66" s="348">
        <f>+G66/D66*100</f>
        <v>10.378510475657986</v>
      </c>
      <c r="I66" s="12"/>
      <c r="J66" s="12"/>
      <c r="K66" s="14"/>
      <c r="L66" s="14"/>
      <c r="M66" s="12"/>
      <c r="N66" s="12"/>
      <c r="O66" s="12"/>
      <c r="P66" s="76">
        <f>SUM(P67,P70,P73,P76)</f>
        <v>2803332700.8800001</v>
      </c>
      <c r="Q66" s="16" t="s">
        <v>261</v>
      </c>
      <c r="S66" s="11"/>
      <c r="T66" s="12"/>
      <c r="U66" s="12"/>
      <c r="V66" s="12"/>
      <c r="W66" s="12"/>
    </row>
    <row r="67" spans="1:23" ht="17.100000000000001" customHeight="1">
      <c r="A67" s="56"/>
      <c r="B67" s="343"/>
      <c r="C67" s="421" t="s">
        <v>52</v>
      </c>
      <c r="D67" s="406">
        <v>1067800</v>
      </c>
      <c r="E67" s="416">
        <f>+P67/1000</f>
        <v>1067799.9999199999</v>
      </c>
      <c r="F67" s="425">
        <v>875385</v>
      </c>
      <c r="G67" s="409">
        <f>+E67-D67</f>
        <v>-8.0000143498182297E-5</v>
      </c>
      <c r="H67" s="412">
        <f>+G67/D67*100</f>
        <v>-7.4920531464864475E-9</v>
      </c>
      <c r="I67" s="59"/>
      <c r="J67" s="60"/>
      <c r="K67" s="339"/>
      <c r="L67" s="339"/>
      <c r="M67" s="415" t="s">
        <v>298</v>
      </c>
      <c r="N67" s="415"/>
      <c r="O67" s="415"/>
      <c r="P67" s="60">
        <f>SUM(P68:P69)</f>
        <v>1067799999.92</v>
      </c>
      <c r="Q67" s="6" t="s">
        <v>261</v>
      </c>
      <c r="S67" s="261"/>
    </row>
    <row r="68" spans="1:23" ht="17.100000000000001" customHeight="1">
      <c r="A68" s="56"/>
      <c r="B68" s="343"/>
      <c r="C68" s="422"/>
      <c r="D68" s="407"/>
      <c r="E68" s="417"/>
      <c r="F68" s="426"/>
      <c r="G68" s="410">
        <f>+E68-D68</f>
        <v>0</v>
      </c>
      <c r="H68" s="413"/>
      <c r="I68" s="64" t="s">
        <v>21</v>
      </c>
      <c r="J68" s="50">
        <v>12316666.66</v>
      </c>
      <c r="K68" s="14" t="s">
        <v>261</v>
      </c>
      <c r="L68" s="13" t="s">
        <v>277</v>
      </c>
      <c r="M68" s="14">
        <v>12</v>
      </c>
      <c r="N68" s="14" t="s">
        <v>276</v>
      </c>
      <c r="O68" s="15" t="s">
        <v>279</v>
      </c>
      <c r="P68" s="50">
        <v>147800000</v>
      </c>
      <c r="Q68" s="16" t="s">
        <v>261</v>
      </c>
    </row>
    <row r="69" spans="1:23" ht="17.100000000000001" customHeight="1">
      <c r="A69" s="56"/>
      <c r="B69" s="343"/>
      <c r="C69" s="423"/>
      <c r="D69" s="408"/>
      <c r="E69" s="424"/>
      <c r="F69" s="427"/>
      <c r="G69" s="411">
        <f>+E69-D69</f>
        <v>0</v>
      </c>
      <c r="H69" s="414"/>
      <c r="I69" s="262" t="s">
        <v>16</v>
      </c>
      <c r="J69" s="65">
        <v>76666666.659999996</v>
      </c>
      <c r="K69" s="389" t="s">
        <v>261</v>
      </c>
      <c r="L69" s="21" t="s">
        <v>277</v>
      </c>
      <c r="M69" s="389">
        <v>12</v>
      </c>
      <c r="N69" s="389" t="s">
        <v>275</v>
      </c>
      <c r="O69" s="22" t="s">
        <v>279</v>
      </c>
      <c r="P69" s="65">
        <f>SUM(J69*M69)</f>
        <v>919999999.91999996</v>
      </c>
      <c r="Q69" s="23" t="s">
        <v>261</v>
      </c>
    </row>
    <row r="70" spans="1:23" ht="17.100000000000001" customHeight="1">
      <c r="A70" s="56"/>
      <c r="B70" s="343"/>
      <c r="C70" s="421" t="s">
        <v>47</v>
      </c>
      <c r="D70" s="406">
        <v>608755</v>
      </c>
      <c r="E70" s="416">
        <f>+P70/1000</f>
        <v>776782.16500000004</v>
      </c>
      <c r="F70" s="425">
        <v>593059</v>
      </c>
      <c r="G70" s="409">
        <f>E70-D70</f>
        <v>168027.16500000004</v>
      </c>
      <c r="H70" s="412">
        <f>+G70/D70*100</f>
        <v>27.601771648692829</v>
      </c>
      <c r="I70" s="59"/>
      <c r="J70" s="8"/>
      <c r="K70" s="339"/>
      <c r="L70" s="339"/>
      <c r="M70" s="415" t="s">
        <v>298</v>
      </c>
      <c r="N70" s="415"/>
      <c r="O70" s="415"/>
      <c r="P70" s="8">
        <f>SUM(P71:P72)</f>
        <v>776782165</v>
      </c>
      <c r="Q70" s="6" t="s">
        <v>261</v>
      </c>
    </row>
    <row r="71" spans="1:23" ht="17.100000000000001" customHeight="1">
      <c r="A71" s="56"/>
      <c r="B71" s="341"/>
      <c r="C71" s="422"/>
      <c r="D71" s="407"/>
      <c r="E71" s="417"/>
      <c r="F71" s="426"/>
      <c r="G71" s="410"/>
      <c r="H71" s="413"/>
      <c r="I71" s="12" t="s">
        <v>343</v>
      </c>
      <c r="J71" s="11">
        <v>370152467</v>
      </c>
      <c r="K71" s="14" t="s">
        <v>261</v>
      </c>
      <c r="L71" s="13" t="s">
        <v>277</v>
      </c>
      <c r="M71" s="14">
        <v>1</v>
      </c>
      <c r="N71" s="14" t="s">
        <v>275</v>
      </c>
      <c r="O71" s="269" t="s">
        <v>279</v>
      </c>
      <c r="P71" s="11">
        <f>SUM(J71*M71)</f>
        <v>370152467</v>
      </c>
      <c r="Q71" s="16" t="s">
        <v>261</v>
      </c>
    </row>
    <row r="72" spans="1:23" ht="17.100000000000001" customHeight="1">
      <c r="A72" s="56"/>
      <c r="B72" s="341"/>
      <c r="C72" s="423"/>
      <c r="D72" s="408"/>
      <c r="E72" s="424"/>
      <c r="F72" s="427"/>
      <c r="G72" s="411"/>
      <c r="H72" s="414"/>
      <c r="I72" s="262" t="s">
        <v>339</v>
      </c>
      <c r="J72" s="19">
        <v>406629698</v>
      </c>
      <c r="K72" s="389" t="s">
        <v>261</v>
      </c>
      <c r="L72" s="21" t="s">
        <v>277</v>
      </c>
      <c r="M72" s="389">
        <v>1</v>
      </c>
      <c r="N72" s="389" t="s">
        <v>275</v>
      </c>
      <c r="O72" s="22" t="s">
        <v>279</v>
      </c>
      <c r="P72" s="19">
        <f>SUM(J72*M72)</f>
        <v>406629698</v>
      </c>
      <c r="Q72" s="23" t="s">
        <v>261</v>
      </c>
      <c r="T72" s="100"/>
    </row>
    <row r="73" spans="1:23" ht="17.100000000000001" customHeight="1">
      <c r="A73" s="40"/>
      <c r="B73" s="352"/>
      <c r="C73" s="452" t="s">
        <v>61</v>
      </c>
      <c r="D73" s="406">
        <v>590000</v>
      </c>
      <c r="E73" s="416">
        <f>+P73/1000</f>
        <v>670350</v>
      </c>
      <c r="F73" s="425">
        <v>538723</v>
      </c>
      <c r="G73" s="409">
        <f>+E73-D73</f>
        <v>80350</v>
      </c>
      <c r="H73" s="412">
        <f>+G73/D73*100</f>
        <v>13.618644067796609</v>
      </c>
      <c r="I73" s="59"/>
      <c r="J73" s="8"/>
      <c r="K73" s="339"/>
      <c r="L73" s="339"/>
      <c r="M73" s="415" t="s">
        <v>298</v>
      </c>
      <c r="N73" s="415"/>
      <c r="O73" s="415"/>
      <c r="P73" s="8">
        <f>SUM(P74:P75)</f>
        <v>670350000</v>
      </c>
      <c r="Q73" s="6" t="s">
        <v>261</v>
      </c>
    </row>
    <row r="74" spans="1:23" ht="17.100000000000001" customHeight="1">
      <c r="A74" s="56"/>
      <c r="B74" s="341"/>
      <c r="C74" s="453"/>
      <c r="D74" s="407"/>
      <c r="E74" s="417"/>
      <c r="F74" s="426"/>
      <c r="G74" s="410"/>
      <c r="H74" s="413"/>
      <c r="I74" s="12" t="s">
        <v>402</v>
      </c>
      <c r="J74" s="11">
        <v>215175000</v>
      </c>
      <c r="K74" s="14" t="s">
        <v>261</v>
      </c>
      <c r="L74" s="13" t="s">
        <v>277</v>
      </c>
      <c r="M74" s="14">
        <v>2</v>
      </c>
      <c r="N74" s="14" t="s">
        <v>275</v>
      </c>
      <c r="O74" s="15" t="s">
        <v>279</v>
      </c>
      <c r="P74" s="11">
        <f>SUM(J74*M74)</f>
        <v>430350000</v>
      </c>
      <c r="Q74" s="16" t="s">
        <v>261</v>
      </c>
    </row>
    <row r="75" spans="1:23" ht="17.100000000000001" customHeight="1">
      <c r="A75" s="56"/>
      <c r="B75" s="341"/>
      <c r="C75" s="479"/>
      <c r="D75" s="408"/>
      <c r="E75" s="424"/>
      <c r="F75" s="427"/>
      <c r="G75" s="411">
        <f>+D75-E75</f>
        <v>0</v>
      </c>
      <c r="H75" s="414"/>
      <c r="I75" s="79" t="s">
        <v>399</v>
      </c>
      <c r="J75" s="19">
        <v>20000000</v>
      </c>
      <c r="K75" s="389" t="s">
        <v>261</v>
      </c>
      <c r="L75" s="21" t="s">
        <v>277</v>
      </c>
      <c r="M75" s="389">
        <v>12</v>
      </c>
      <c r="N75" s="389" t="s">
        <v>275</v>
      </c>
      <c r="O75" s="22" t="s">
        <v>279</v>
      </c>
      <c r="P75" s="19">
        <f>SUM(J75*M75)</f>
        <v>240000000</v>
      </c>
      <c r="Q75" s="23" t="s">
        <v>261</v>
      </c>
    </row>
    <row r="76" spans="1:23" ht="17.100000000000001" customHeight="1">
      <c r="A76" s="40"/>
      <c r="B76" s="353"/>
      <c r="C76" s="403" t="s">
        <v>50</v>
      </c>
      <c r="D76" s="406">
        <v>273190</v>
      </c>
      <c r="E76" s="406">
        <f>+P76/1000</f>
        <v>288400.53596000007</v>
      </c>
      <c r="F76" s="425">
        <v>22522</v>
      </c>
      <c r="G76" s="409">
        <f>+E76-D76</f>
        <v>15210.535960000067</v>
      </c>
      <c r="H76" s="412">
        <f>+G76/D76*100</f>
        <v>5.5677499029979378</v>
      </c>
      <c r="I76" s="59"/>
      <c r="J76" s="60"/>
      <c r="K76" s="339"/>
      <c r="L76" s="339"/>
      <c r="M76" s="415" t="s">
        <v>298</v>
      </c>
      <c r="N76" s="415"/>
      <c r="O76" s="415"/>
      <c r="P76" s="60">
        <f>SUM(P77:P80)</f>
        <v>288400535.96000004</v>
      </c>
      <c r="Q76" s="6" t="s">
        <v>261</v>
      </c>
    </row>
    <row r="77" spans="1:23" ht="17.100000000000001" customHeight="1">
      <c r="A77" s="56"/>
      <c r="B77" s="341"/>
      <c r="C77" s="404"/>
      <c r="D77" s="407"/>
      <c r="E77" s="407"/>
      <c r="F77" s="426"/>
      <c r="G77" s="410"/>
      <c r="H77" s="413"/>
      <c r="I77" s="293" t="s">
        <v>13</v>
      </c>
      <c r="J77" s="11">
        <v>8250833.3300000001</v>
      </c>
      <c r="K77" s="14" t="s">
        <v>261</v>
      </c>
      <c r="L77" s="13" t="s">
        <v>277</v>
      </c>
      <c r="M77" s="14">
        <v>12</v>
      </c>
      <c r="N77" s="14" t="s">
        <v>276</v>
      </c>
      <c r="O77" s="15" t="s">
        <v>279</v>
      </c>
      <c r="P77" s="11">
        <f>SUM(J77*M77)</f>
        <v>99009999.960000008</v>
      </c>
      <c r="Q77" s="16" t="s">
        <v>261</v>
      </c>
    </row>
    <row r="78" spans="1:23" ht="17.100000000000001" customHeight="1">
      <c r="A78" s="56"/>
      <c r="B78" s="341"/>
      <c r="C78" s="404"/>
      <c r="D78" s="407"/>
      <c r="E78" s="407"/>
      <c r="F78" s="61"/>
      <c r="G78" s="410"/>
      <c r="H78" s="413"/>
      <c r="I78" s="293" t="s">
        <v>338</v>
      </c>
      <c r="J78" s="11">
        <v>12915000</v>
      </c>
      <c r="K78" s="14" t="s">
        <v>261</v>
      </c>
      <c r="L78" s="13" t="s">
        <v>277</v>
      </c>
      <c r="M78" s="14">
        <v>12</v>
      </c>
      <c r="N78" s="14" t="s">
        <v>275</v>
      </c>
      <c r="O78" s="15" t="s">
        <v>279</v>
      </c>
      <c r="P78" s="11">
        <f>SUM(J78*M78)</f>
        <v>154980000</v>
      </c>
      <c r="Q78" s="16" t="s">
        <v>261</v>
      </c>
    </row>
    <row r="79" spans="1:23" ht="17.100000000000001" customHeight="1">
      <c r="A79" s="56"/>
      <c r="B79" s="343"/>
      <c r="C79" s="404"/>
      <c r="D79" s="407"/>
      <c r="E79" s="407"/>
      <c r="F79" s="63"/>
      <c r="G79" s="410"/>
      <c r="H79" s="413"/>
      <c r="I79" s="293" t="s">
        <v>442</v>
      </c>
      <c r="J79" s="298">
        <v>19920000</v>
      </c>
      <c r="K79" s="390" t="s">
        <v>261</v>
      </c>
      <c r="L79" s="299" t="s">
        <v>277</v>
      </c>
      <c r="M79" s="390">
        <v>1</v>
      </c>
      <c r="N79" s="390" t="s">
        <v>275</v>
      </c>
      <c r="O79" s="300" t="s">
        <v>279</v>
      </c>
      <c r="P79" s="298">
        <f>SUM(J79*M79)</f>
        <v>19920000</v>
      </c>
      <c r="Q79" s="16" t="s">
        <v>261</v>
      </c>
    </row>
    <row r="80" spans="1:23" ht="17.100000000000001" customHeight="1">
      <c r="A80" s="101"/>
      <c r="B80" s="344"/>
      <c r="C80" s="405"/>
      <c r="D80" s="408"/>
      <c r="E80" s="408"/>
      <c r="F80" s="63"/>
      <c r="G80" s="411"/>
      <c r="H80" s="414"/>
      <c r="I80" s="600" t="s">
        <v>473</v>
      </c>
      <c r="J80" s="19">
        <v>14490536</v>
      </c>
      <c r="K80" s="389" t="s">
        <v>261</v>
      </c>
      <c r="L80" s="21" t="s">
        <v>277</v>
      </c>
      <c r="M80" s="389">
        <v>1</v>
      </c>
      <c r="N80" s="389" t="s">
        <v>275</v>
      </c>
      <c r="O80" s="22" t="s">
        <v>279</v>
      </c>
      <c r="P80" s="19">
        <f>SUM(J80*M80)</f>
        <v>14490536</v>
      </c>
      <c r="Q80" s="23" t="s">
        <v>261</v>
      </c>
    </row>
    <row r="81" spans="1:27" ht="18.95" customHeight="1">
      <c r="A81" s="89" t="s">
        <v>303</v>
      </c>
      <c r="B81" s="437" t="s">
        <v>273</v>
      </c>
      <c r="C81" s="438"/>
      <c r="D81" s="67">
        <f>SUM(D82)</f>
        <v>4301910</v>
      </c>
      <c r="E81" s="68">
        <f>SUM(E82)</f>
        <v>4321910.8040000005</v>
      </c>
      <c r="F81" s="80">
        <f>SUM(F82)</f>
        <v>1596860</v>
      </c>
      <c r="G81" s="70">
        <f>+E81-D81</f>
        <v>20000.804000000469</v>
      </c>
      <c r="H81" s="71">
        <f t="shared" ref="H81:H93" si="4">+G81/D81*100</f>
        <v>0.4649284620087466</v>
      </c>
      <c r="I81" s="72"/>
      <c r="J81" s="72"/>
      <c r="K81" s="347"/>
      <c r="L81" s="347"/>
      <c r="M81" s="72"/>
      <c r="N81" s="72"/>
      <c r="O81" s="72"/>
      <c r="P81" s="73">
        <f>SUM(P82)</f>
        <v>4321910804</v>
      </c>
      <c r="Q81" s="74" t="s">
        <v>261</v>
      </c>
    </row>
    <row r="82" spans="1:27" ht="17.100000000000001" customHeight="1">
      <c r="A82" s="56"/>
      <c r="B82" s="102" t="s">
        <v>303</v>
      </c>
      <c r="C82" s="340" t="s">
        <v>284</v>
      </c>
      <c r="D82" s="331">
        <f>SUM(D83:D85)</f>
        <v>4301910</v>
      </c>
      <c r="E82" s="84">
        <f>SUM(E83:E85)</f>
        <v>4321910.8040000005</v>
      </c>
      <c r="F82" s="103">
        <f>SUM(F83:F85)</f>
        <v>1596860</v>
      </c>
      <c r="G82" s="53">
        <f>E82-D82</f>
        <v>20000.804000000469</v>
      </c>
      <c r="H82" s="348">
        <f t="shared" si="4"/>
        <v>0.4649284620087466</v>
      </c>
      <c r="I82" s="9" t="s">
        <v>292</v>
      </c>
      <c r="J82" s="72" t="s">
        <v>292</v>
      </c>
      <c r="K82" s="339"/>
      <c r="L82" s="339"/>
      <c r="M82" s="9"/>
      <c r="N82" s="472" t="s">
        <v>298</v>
      </c>
      <c r="O82" s="472"/>
      <c r="P82" s="5">
        <f>SUM(P83:P85)</f>
        <v>4321910804</v>
      </c>
      <c r="Q82" s="6" t="s">
        <v>261</v>
      </c>
    </row>
    <row r="83" spans="1:27" ht="17.100000000000001" customHeight="1">
      <c r="A83" s="56"/>
      <c r="B83" s="343"/>
      <c r="C83" s="104" t="s">
        <v>226</v>
      </c>
      <c r="D83" s="105">
        <v>2225678</v>
      </c>
      <c r="E83" s="106">
        <f>+P83/1000</f>
        <v>2225678.2570000002</v>
      </c>
      <c r="F83" s="107">
        <v>313065</v>
      </c>
      <c r="G83" s="53">
        <f>E83-D83</f>
        <v>0.25700000021606684</v>
      </c>
      <c r="H83" s="348">
        <f t="shared" si="4"/>
        <v>1.1547043202838274E-5</v>
      </c>
      <c r="I83" s="108" t="s">
        <v>226</v>
      </c>
      <c r="J83" s="109">
        <v>2225678257</v>
      </c>
      <c r="K83" s="72" t="s">
        <v>261</v>
      </c>
      <c r="L83" s="110" t="s">
        <v>277</v>
      </c>
      <c r="M83" s="347">
        <v>1</v>
      </c>
      <c r="N83" s="347" t="s">
        <v>275</v>
      </c>
      <c r="O83" s="111" t="s">
        <v>279</v>
      </c>
      <c r="P83" s="258">
        <f>+J83*M83</f>
        <v>2225678257</v>
      </c>
      <c r="Q83" s="87" t="s">
        <v>261</v>
      </c>
    </row>
    <row r="84" spans="1:27" ht="17.100000000000001" customHeight="1">
      <c r="A84" s="56"/>
      <c r="B84" s="343"/>
      <c r="C84" s="104" t="s">
        <v>87</v>
      </c>
      <c r="D84" s="83">
        <v>837896</v>
      </c>
      <c r="E84" s="106">
        <f>+P84/1000</f>
        <v>837896.22699999996</v>
      </c>
      <c r="F84" s="107">
        <v>1283795</v>
      </c>
      <c r="G84" s="53">
        <f>E84-D84</f>
        <v>0.22699999995529652</v>
      </c>
      <c r="H84" s="348">
        <f t="shared" si="4"/>
        <v>2.7091667695668258E-5</v>
      </c>
      <c r="I84" s="108" t="s">
        <v>87</v>
      </c>
      <c r="J84" s="109">
        <v>837896227</v>
      </c>
      <c r="K84" s="72" t="s">
        <v>261</v>
      </c>
      <c r="L84" s="110" t="s">
        <v>277</v>
      </c>
      <c r="M84" s="347">
        <v>1</v>
      </c>
      <c r="N84" s="347" t="s">
        <v>275</v>
      </c>
      <c r="O84" s="111" t="s">
        <v>279</v>
      </c>
      <c r="P84" s="258">
        <f>+J84*M84</f>
        <v>837896227</v>
      </c>
      <c r="Q84" s="87" t="s">
        <v>261</v>
      </c>
    </row>
    <row r="85" spans="1:27" ht="17.100000000000001" customHeight="1">
      <c r="A85" s="56"/>
      <c r="B85" s="343" t="s">
        <v>292</v>
      </c>
      <c r="C85" s="340" t="s">
        <v>120</v>
      </c>
      <c r="D85" s="83">
        <v>1238336</v>
      </c>
      <c r="E85" s="106">
        <f>+P85/1000</f>
        <v>1258336.32</v>
      </c>
      <c r="F85" s="107">
        <v>0</v>
      </c>
      <c r="G85" s="53">
        <f>E85-D85</f>
        <v>20000.320000000065</v>
      </c>
      <c r="H85" s="348">
        <f t="shared" si="4"/>
        <v>1.6150963874102073</v>
      </c>
      <c r="I85" s="59" t="s">
        <v>120</v>
      </c>
      <c r="J85" s="109">
        <v>1258336320</v>
      </c>
      <c r="K85" s="9" t="s">
        <v>261</v>
      </c>
      <c r="L85" s="10" t="s">
        <v>277</v>
      </c>
      <c r="M85" s="339">
        <v>1</v>
      </c>
      <c r="N85" s="339" t="s">
        <v>275</v>
      </c>
      <c r="O85" s="112" t="s">
        <v>279</v>
      </c>
      <c r="P85" s="8">
        <f>+J85*M85</f>
        <v>1258336320</v>
      </c>
      <c r="Q85" s="6" t="s">
        <v>261</v>
      </c>
    </row>
    <row r="86" spans="1:27" ht="18.95" customHeight="1">
      <c r="A86" s="89" t="s">
        <v>302</v>
      </c>
      <c r="B86" s="438" t="s">
        <v>273</v>
      </c>
      <c r="C86" s="467"/>
      <c r="D86" s="113">
        <f>D87</f>
        <v>247015</v>
      </c>
      <c r="E86" s="68">
        <f>E87</f>
        <v>271182.53999999998</v>
      </c>
      <c r="F86" s="67">
        <f>F87</f>
        <v>0</v>
      </c>
      <c r="G86" s="70">
        <f>G87</f>
        <v>24167.539999999979</v>
      </c>
      <c r="H86" s="71">
        <f t="shared" si="4"/>
        <v>9.7838349897779402</v>
      </c>
      <c r="I86" s="59"/>
      <c r="J86" s="8"/>
      <c r="K86" s="9"/>
      <c r="L86" s="10"/>
      <c r="M86" s="339"/>
      <c r="N86" s="339"/>
      <c r="O86" s="112"/>
      <c r="P86" s="114">
        <f>SUM(P87)</f>
        <v>271182540</v>
      </c>
      <c r="Q86" s="115" t="s">
        <v>261</v>
      </c>
    </row>
    <row r="87" spans="1:27" ht="17.100000000000001" customHeight="1">
      <c r="A87" s="40"/>
      <c r="B87" s="352" t="s">
        <v>302</v>
      </c>
      <c r="C87" s="350" t="s">
        <v>284</v>
      </c>
      <c r="D87" s="331">
        <f>SUM(D88:D93)</f>
        <v>247015</v>
      </c>
      <c r="E87" s="84">
        <f>SUM(E88:E93)</f>
        <v>271182.53999999998</v>
      </c>
      <c r="F87" s="116"/>
      <c r="G87" s="53">
        <f>E87-D87</f>
        <v>24167.539999999979</v>
      </c>
      <c r="H87" s="337">
        <f>G87/D87*100</f>
        <v>9.7838349897779402</v>
      </c>
      <c r="I87" s="59"/>
      <c r="J87" s="8"/>
      <c r="K87" s="9"/>
      <c r="L87" s="10"/>
      <c r="M87" s="339"/>
      <c r="N87" s="472" t="s">
        <v>298</v>
      </c>
      <c r="O87" s="472"/>
      <c r="P87" s="8">
        <f>SUM(P88:P90)</f>
        <v>271182540</v>
      </c>
      <c r="Q87" s="6" t="s">
        <v>261</v>
      </c>
    </row>
    <row r="88" spans="1:27" ht="17.100000000000001" customHeight="1">
      <c r="A88" s="56"/>
      <c r="B88" s="343"/>
      <c r="C88" s="342" t="s">
        <v>106</v>
      </c>
      <c r="D88" s="83">
        <v>12000</v>
      </c>
      <c r="E88" s="84">
        <f>P88/1000</f>
        <v>12000</v>
      </c>
      <c r="F88" s="117"/>
      <c r="G88" s="53">
        <f>+E88-D88</f>
        <v>0</v>
      </c>
      <c r="H88" s="337">
        <f>G88/D88*100</f>
        <v>0</v>
      </c>
      <c r="I88" s="108" t="s">
        <v>106</v>
      </c>
      <c r="J88" s="109">
        <v>3000000</v>
      </c>
      <c r="K88" s="347" t="s">
        <v>261</v>
      </c>
      <c r="L88" s="110" t="s">
        <v>277</v>
      </c>
      <c r="M88" s="347">
        <v>4</v>
      </c>
      <c r="N88" s="347" t="s">
        <v>312</v>
      </c>
      <c r="O88" s="111" t="s">
        <v>279</v>
      </c>
      <c r="P88" s="109">
        <f>SUM(J88*M88)</f>
        <v>12000000</v>
      </c>
      <c r="Q88" s="87" t="s">
        <v>261</v>
      </c>
      <c r="T88" s="26"/>
    </row>
    <row r="89" spans="1:27" ht="17.100000000000001" customHeight="1">
      <c r="A89" s="56"/>
      <c r="B89" s="343"/>
      <c r="C89" s="342" t="s">
        <v>162</v>
      </c>
      <c r="D89" s="83">
        <v>27179</v>
      </c>
      <c r="E89" s="99">
        <f>P89/1000</f>
        <v>27178.54</v>
      </c>
      <c r="F89" s="117"/>
      <c r="G89" s="53">
        <f>+E89-D89</f>
        <v>-0.45999999999912689</v>
      </c>
      <c r="H89" s="348">
        <f>G89/D89*100</f>
        <v>-1.6924831671478967E-3</v>
      </c>
      <c r="I89" s="294" t="s">
        <v>443</v>
      </c>
      <c r="J89" s="109">
        <v>27178540</v>
      </c>
      <c r="K89" s="347" t="s">
        <v>261</v>
      </c>
      <c r="L89" s="347" t="s">
        <v>277</v>
      </c>
      <c r="M89" s="72">
        <v>1</v>
      </c>
      <c r="N89" s="347" t="s">
        <v>275</v>
      </c>
      <c r="O89" s="72" t="s">
        <v>279</v>
      </c>
      <c r="P89" s="109">
        <f>J89*M89</f>
        <v>27178540</v>
      </c>
      <c r="Q89" s="87" t="s">
        <v>261</v>
      </c>
      <c r="T89" s="26"/>
    </row>
    <row r="90" spans="1:27" ht="17.100000000000001" customHeight="1">
      <c r="A90" s="56"/>
      <c r="B90" s="343"/>
      <c r="C90" s="421" t="s">
        <v>55</v>
      </c>
      <c r="D90" s="407">
        <v>207836</v>
      </c>
      <c r="E90" s="417">
        <f>+P90/1000</f>
        <v>232004</v>
      </c>
      <c r="F90" s="425">
        <v>6500</v>
      </c>
      <c r="G90" s="410">
        <f>+E90-D90</f>
        <v>24168</v>
      </c>
      <c r="H90" s="473">
        <f t="shared" si="4"/>
        <v>11.628399314844398</v>
      </c>
      <c r="I90" s="59"/>
      <c r="J90" s="60"/>
      <c r="K90" s="339"/>
      <c r="L90" s="339"/>
      <c r="M90" s="415" t="s">
        <v>298</v>
      </c>
      <c r="N90" s="415"/>
      <c r="O90" s="415"/>
      <c r="P90" s="60">
        <f>SUM(P91:P93)</f>
        <v>232004000</v>
      </c>
      <c r="Q90" s="6" t="s">
        <v>261</v>
      </c>
      <c r="T90" s="26"/>
    </row>
    <row r="91" spans="1:27" ht="17.100000000000001" customHeight="1">
      <c r="A91" s="56"/>
      <c r="B91" s="343"/>
      <c r="C91" s="422"/>
      <c r="D91" s="407"/>
      <c r="E91" s="417"/>
      <c r="F91" s="426"/>
      <c r="G91" s="410"/>
      <c r="H91" s="473" t="e">
        <f t="shared" si="4"/>
        <v>#DIV/0!</v>
      </c>
      <c r="I91" s="62" t="s">
        <v>7</v>
      </c>
      <c r="J91" s="50">
        <v>5000000</v>
      </c>
      <c r="K91" s="14" t="s">
        <v>261</v>
      </c>
      <c r="L91" s="13" t="s">
        <v>277</v>
      </c>
      <c r="M91" s="14">
        <v>1</v>
      </c>
      <c r="N91" s="14" t="s">
        <v>275</v>
      </c>
      <c r="O91" s="15" t="s">
        <v>279</v>
      </c>
      <c r="P91" s="50">
        <f>J91*M91</f>
        <v>5000000</v>
      </c>
      <c r="Q91" s="16" t="s">
        <v>261</v>
      </c>
      <c r="T91" s="26"/>
    </row>
    <row r="92" spans="1:27" ht="17.100000000000001" customHeight="1">
      <c r="A92" s="56"/>
      <c r="B92" s="343"/>
      <c r="C92" s="422"/>
      <c r="D92" s="407"/>
      <c r="E92" s="417"/>
      <c r="F92" s="426"/>
      <c r="G92" s="410"/>
      <c r="H92" s="412"/>
      <c r="I92" s="64" t="s">
        <v>215</v>
      </c>
      <c r="J92" s="50">
        <v>200836000</v>
      </c>
      <c r="K92" s="14" t="s">
        <v>261</v>
      </c>
      <c r="L92" s="13" t="s">
        <v>277</v>
      </c>
      <c r="M92" s="14">
        <v>1</v>
      </c>
      <c r="N92" s="14" t="s">
        <v>275</v>
      </c>
      <c r="O92" s="15" t="s">
        <v>279</v>
      </c>
      <c r="P92" s="50">
        <f>J92*M92</f>
        <v>200836000</v>
      </c>
      <c r="Q92" s="16" t="s">
        <v>261</v>
      </c>
      <c r="T92" s="26"/>
    </row>
    <row r="93" spans="1:27" ht="15.95" customHeight="1">
      <c r="A93" s="97"/>
      <c r="B93" s="98"/>
      <c r="C93" s="476"/>
      <c r="D93" s="477"/>
      <c r="E93" s="478"/>
      <c r="F93" s="475"/>
      <c r="G93" s="471">
        <f>+E93-D93</f>
        <v>0</v>
      </c>
      <c r="H93" s="474" t="e">
        <f t="shared" si="4"/>
        <v>#DIV/0!</v>
      </c>
      <c r="I93" s="601" t="s">
        <v>55</v>
      </c>
      <c r="J93" s="602">
        <v>6542000</v>
      </c>
      <c r="K93" s="289" t="s">
        <v>261</v>
      </c>
      <c r="L93" s="290" t="s">
        <v>277</v>
      </c>
      <c r="M93" s="289">
        <v>4</v>
      </c>
      <c r="N93" s="289" t="s">
        <v>275</v>
      </c>
      <c r="O93" s="291" t="s">
        <v>279</v>
      </c>
      <c r="P93" s="602">
        <f>SUM(J93*M93)</f>
        <v>26168000</v>
      </c>
      <c r="Q93" s="292" t="s">
        <v>261</v>
      </c>
      <c r="T93" s="26"/>
      <c r="AA93" s="118"/>
    </row>
    <row r="94" spans="1:27">
      <c r="T94" s="26"/>
      <c r="AA94" s="118"/>
    </row>
    <row r="95" spans="1:27">
      <c r="T95" s="26"/>
      <c r="AA95" s="118"/>
    </row>
    <row r="96" spans="1:27">
      <c r="T96" s="26"/>
      <c r="AA96" s="118"/>
    </row>
    <row r="97" spans="1:27">
      <c r="T97" s="26"/>
      <c r="AA97" s="118"/>
    </row>
    <row r="98" spans="1:27">
      <c r="T98" s="26"/>
      <c r="AA98" s="118"/>
    </row>
    <row r="99" spans="1:27">
      <c r="T99" s="26"/>
      <c r="AA99" s="118"/>
    </row>
    <row r="100" spans="1:27">
      <c r="T100" s="26"/>
    </row>
    <row r="101" spans="1:27">
      <c r="T101" s="26"/>
    </row>
    <row r="102" spans="1:27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S102" s="25"/>
      <c r="T102" s="26"/>
    </row>
  </sheetData>
  <mergeCells count="135">
    <mergeCell ref="G37:G38"/>
    <mergeCell ref="F56:F64"/>
    <mergeCell ref="D67:D69"/>
    <mergeCell ref="E67:E69"/>
    <mergeCell ref="G70:G72"/>
    <mergeCell ref="H70:H72"/>
    <mergeCell ref="H37:H38"/>
    <mergeCell ref="F37:F38"/>
    <mergeCell ref="E56:E64"/>
    <mergeCell ref="G73:G75"/>
    <mergeCell ref="H73:H75"/>
    <mergeCell ref="M73:O73"/>
    <mergeCell ref="M39:O39"/>
    <mergeCell ref="M44:O44"/>
    <mergeCell ref="H39:H43"/>
    <mergeCell ref="C67:C69"/>
    <mergeCell ref="B65:C65"/>
    <mergeCell ref="C48:C52"/>
    <mergeCell ref="D48:D52"/>
    <mergeCell ref="D39:D43"/>
    <mergeCell ref="D56:D64"/>
    <mergeCell ref="C56:C64"/>
    <mergeCell ref="E39:E43"/>
    <mergeCell ref="C44:C47"/>
    <mergeCell ref="D44:D47"/>
    <mergeCell ref="E44:E47"/>
    <mergeCell ref="R46:U46"/>
    <mergeCell ref="H56:H64"/>
    <mergeCell ref="M67:O67"/>
    <mergeCell ref="H67:H69"/>
    <mergeCell ref="M48:O48"/>
    <mergeCell ref="H48:H52"/>
    <mergeCell ref="F54:F55"/>
    <mergeCell ref="G54:G55"/>
    <mergeCell ref="G56:G64"/>
    <mergeCell ref="H54:H55"/>
    <mergeCell ref="M54:O54"/>
    <mergeCell ref="G44:G47"/>
    <mergeCell ref="H44:H47"/>
    <mergeCell ref="M90:O90"/>
    <mergeCell ref="N87:O87"/>
    <mergeCell ref="N82:O82"/>
    <mergeCell ref="H90:H93"/>
    <mergeCell ref="B86:C86"/>
    <mergeCell ref="F90:F93"/>
    <mergeCell ref="B81:C81"/>
    <mergeCell ref="C90:C93"/>
    <mergeCell ref="F67:F69"/>
    <mergeCell ref="G90:G93"/>
    <mergeCell ref="G67:G69"/>
    <mergeCell ref="D90:D93"/>
    <mergeCell ref="E90:E93"/>
    <mergeCell ref="F76:F77"/>
    <mergeCell ref="M76:O76"/>
    <mergeCell ref="C70:C72"/>
    <mergeCell ref="D70:D72"/>
    <mergeCell ref="E70:E72"/>
    <mergeCell ref="F70:F72"/>
    <mergeCell ref="M70:O70"/>
    <mergeCell ref="C73:C75"/>
    <mergeCell ref="D73:D75"/>
    <mergeCell ref="E73:E75"/>
    <mergeCell ref="F73:F75"/>
    <mergeCell ref="O3:Q3"/>
    <mergeCell ref="F19:F22"/>
    <mergeCell ref="D4:D5"/>
    <mergeCell ref="E48:E52"/>
    <mergeCell ref="C54:C55"/>
    <mergeCell ref="D54:D55"/>
    <mergeCell ref="E54:E55"/>
    <mergeCell ref="C39:C43"/>
    <mergeCell ref="B25:C25"/>
    <mergeCell ref="D33:D34"/>
    <mergeCell ref="B35:C35"/>
    <mergeCell ref="D37:D38"/>
    <mergeCell ref="E37:E38"/>
    <mergeCell ref="M19:O19"/>
    <mergeCell ref="I27:J27"/>
    <mergeCell ref="C37:C38"/>
    <mergeCell ref="C23:C24"/>
    <mergeCell ref="D23:D24"/>
    <mergeCell ref="M23:O23"/>
    <mergeCell ref="A3:B3"/>
    <mergeCell ref="G48:G52"/>
    <mergeCell ref="F39:F40"/>
    <mergeCell ref="G39:G43"/>
    <mergeCell ref="F44:F45"/>
    <mergeCell ref="A1:Q1"/>
    <mergeCell ref="F33:F34"/>
    <mergeCell ref="D19:D22"/>
    <mergeCell ref="M9:O9"/>
    <mergeCell ref="E4:E5"/>
    <mergeCell ref="A4:A5"/>
    <mergeCell ref="B31:C31"/>
    <mergeCell ref="F4:F5"/>
    <mergeCell ref="B4:B5"/>
    <mergeCell ref="M27:O27"/>
    <mergeCell ref="H33:H34"/>
    <mergeCell ref="E23:E24"/>
    <mergeCell ref="G23:G24"/>
    <mergeCell ref="H23:H24"/>
    <mergeCell ref="E33:E34"/>
    <mergeCell ref="G33:G34"/>
    <mergeCell ref="C4:C5"/>
    <mergeCell ref="G4:H4"/>
    <mergeCell ref="C19:C22"/>
    <mergeCell ref="G9:G16"/>
    <mergeCell ref="H9:H16"/>
    <mergeCell ref="C33:C34"/>
    <mergeCell ref="I4:Q5"/>
    <mergeCell ref="B7:C7"/>
    <mergeCell ref="C76:C80"/>
    <mergeCell ref="D76:D80"/>
    <mergeCell ref="E76:E80"/>
    <mergeCell ref="G76:G80"/>
    <mergeCell ref="H76:H80"/>
    <mergeCell ref="M17:O17"/>
    <mergeCell ref="E19:E22"/>
    <mergeCell ref="G19:G22"/>
    <mergeCell ref="A6:C6"/>
    <mergeCell ref="H19:H22"/>
    <mergeCell ref="C9:C16"/>
    <mergeCell ref="D9:D16"/>
    <mergeCell ref="E9:E16"/>
    <mergeCell ref="F27:F30"/>
    <mergeCell ref="C27:C30"/>
    <mergeCell ref="D27:D30"/>
    <mergeCell ref="E27:E30"/>
    <mergeCell ref="G27:G30"/>
    <mergeCell ref="H27:H30"/>
    <mergeCell ref="C17:C18"/>
    <mergeCell ref="D17:D18"/>
    <mergeCell ref="E17:E18"/>
    <mergeCell ref="G17:G18"/>
    <mergeCell ref="H17:H18"/>
  </mergeCells>
  <phoneticPr fontId="6" type="noConversion"/>
  <printOptions horizontalCentered="1"/>
  <pageMargins left="0.19685039370078741" right="0.19685039370078741" top="0.59055118110236227" bottom="0.39370078740157483" header="0.39370078740157483" footer="0.19685039370078741"/>
  <pageSetup paperSize="9" scale="93" orientation="landscape" r:id="rId1"/>
  <headerFooter>
    <oddFooter>&amp;C&amp;"맑은 고딕,Regular"&amp;P</oddFooter>
  </headerFooter>
  <rowBreaks count="2" manualBreakCount="2">
    <brk id="34" min="1" max="25" man="1"/>
    <brk id="64" min="1" max="2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AF328"/>
  <sheetViews>
    <sheetView tabSelected="1" view="pageBreakPreview" zoomScaleNormal="100" zoomScaleSheetLayoutView="100" workbookViewId="0">
      <pane ySplit="4" topLeftCell="A62" activePane="bottomLeft" state="frozen"/>
      <selection pane="bottomLeft" activeCell="AE321" sqref="AE321"/>
    </sheetView>
  </sheetViews>
  <sheetFormatPr defaultColWidth="9" defaultRowHeight="17.25"/>
  <cols>
    <col min="1" max="1" width="6.625" style="119" customWidth="1"/>
    <col min="2" max="2" width="6.625" style="100" customWidth="1"/>
    <col min="3" max="3" width="12.75" style="100" customWidth="1"/>
    <col min="4" max="5" width="13.125" style="119" customWidth="1"/>
    <col min="6" max="6" width="13.125" style="119" hidden="1" customWidth="1"/>
    <col min="7" max="7" width="10.625" style="122" customWidth="1"/>
    <col min="8" max="8" width="9.625" style="123" customWidth="1"/>
    <col min="9" max="9" width="21.125" style="124" customWidth="1"/>
    <col min="10" max="10" width="12.75" style="50" customWidth="1"/>
    <col min="11" max="11" width="3.125" style="12" customWidth="1"/>
    <col min="12" max="12" width="3.125" style="14" customWidth="1"/>
    <col min="13" max="13" width="4.25" style="14" customWidth="1"/>
    <col min="14" max="15" width="3.125" style="14" customWidth="1"/>
    <col min="16" max="16" width="13.75" style="50" customWidth="1"/>
    <col min="17" max="17" width="2.625" style="12" customWidth="1"/>
    <col min="18" max="28" width="12.5" style="25" hidden="1" customWidth="1"/>
    <col min="29" max="29" width="14.125" style="25" customWidth="1"/>
    <col min="30" max="30" width="13.625" style="26" bestFit="1" customWidth="1"/>
    <col min="31" max="31" width="13.125" style="125" customWidth="1"/>
    <col min="32" max="32" width="12.625" style="125" customWidth="1"/>
    <col min="33" max="33" width="12.625" style="25" customWidth="1"/>
    <col min="34" max="16384" width="9" style="25"/>
  </cols>
  <sheetData>
    <row r="1" spans="1:32" ht="20.25">
      <c r="A1" s="532" t="s">
        <v>183</v>
      </c>
      <c r="B1" s="532"/>
    </row>
    <row r="2" spans="1:32" ht="12.75" customHeight="1" thickBot="1">
      <c r="A2" s="534"/>
      <c r="B2" s="534"/>
      <c r="C2" s="27"/>
      <c r="D2" s="126"/>
      <c r="E2" s="126"/>
      <c r="F2" s="126"/>
      <c r="G2" s="127"/>
      <c r="H2" s="128"/>
      <c r="I2" s="27" t="s">
        <v>292</v>
      </c>
      <c r="J2" s="126"/>
      <c r="K2" s="27"/>
      <c r="L2" s="27"/>
      <c r="M2" s="27"/>
      <c r="N2" s="27"/>
      <c r="O2" s="464" t="s">
        <v>18</v>
      </c>
      <c r="P2" s="464"/>
      <c r="Q2" s="464"/>
    </row>
    <row r="3" spans="1:32" ht="17.25" customHeight="1">
      <c r="A3" s="435" t="s">
        <v>274</v>
      </c>
      <c r="B3" s="459" t="s">
        <v>270</v>
      </c>
      <c r="C3" s="560" t="s">
        <v>278</v>
      </c>
      <c r="D3" s="433" t="s">
        <v>461</v>
      </c>
      <c r="E3" s="433" t="s">
        <v>463</v>
      </c>
      <c r="F3" s="553" t="s">
        <v>10</v>
      </c>
      <c r="G3" s="552" t="s">
        <v>77</v>
      </c>
      <c r="H3" s="552"/>
      <c r="I3" s="560" t="s">
        <v>406</v>
      </c>
      <c r="J3" s="560"/>
      <c r="K3" s="560"/>
      <c r="L3" s="560"/>
      <c r="M3" s="560"/>
      <c r="N3" s="560"/>
      <c r="O3" s="560"/>
      <c r="P3" s="560"/>
      <c r="Q3" s="560"/>
    </row>
    <row r="4" spans="1:32" ht="20.25" customHeight="1" thickBot="1">
      <c r="A4" s="436"/>
      <c r="B4" s="461"/>
      <c r="C4" s="561"/>
      <c r="D4" s="434"/>
      <c r="E4" s="434"/>
      <c r="F4" s="554"/>
      <c r="G4" s="129" t="s">
        <v>300</v>
      </c>
      <c r="H4" s="281" t="s">
        <v>305</v>
      </c>
      <c r="I4" s="561"/>
      <c r="J4" s="561"/>
      <c r="K4" s="561"/>
      <c r="L4" s="561"/>
      <c r="M4" s="561"/>
      <c r="N4" s="561"/>
      <c r="O4" s="561"/>
      <c r="P4" s="561"/>
      <c r="Q4" s="561"/>
    </row>
    <row r="5" spans="1:32" ht="19.5" customHeight="1" thickBot="1">
      <c r="A5" s="418" t="s">
        <v>307</v>
      </c>
      <c r="B5" s="419"/>
      <c r="C5" s="420"/>
      <c r="D5" s="130">
        <f>SUM(D6,D76,D83,D215,D310,D306)</f>
        <v>8708530.1199130006</v>
      </c>
      <c r="E5" s="130">
        <f>SUM(E6,E76,E83,E215,E310,E306)</f>
        <v>9143392.4094059989</v>
      </c>
      <c r="F5" s="131" t="e">
        <f>SUM(F6,F76,F83,F215,#REF!,F310)</f>
        <v>#REF!</v>
      </c>
      <c r="G5" s="132">
        <f>+E5-D5</f>
        <v>434862.28949299827</v>
      </c>
      <c r="H5" s="133">
        <f t="shared" ref="H5:H37" si="0">+G5/D5*100</f>
        <v>4.9935211052280613</v>
      </c>
      <c r="I5" s="134"/>
      <c r="J5" s="36"/>
      <c r="K5" s="37"/>
      <c r="L5" s="37"/>
      <c r="M5" s="36"/>
      <c r="N5" s="36"/>
      <c r="O5" s="135"/>
      <c r="P5" s="136">
        <f>SUM(P6,P76,P83,P215,P306,P310)+1</f>
        <v>9143392410.4060001</v>
      </c>
      <c r="Q5" s="137" t="s">
        <v>261</v>
      </c>
    </row>
    <row r="6" spans="1:32" ht="20.100000000000001" customHeight="1" thickTop="1" thickBot="1">
      <c r="A6" s="40" t="s">
        <v>281</v>
      </c>
      <c r="B6" s="535" t="s">
        <v>273</v>
      </c>
      <c r="C6" s="536"/>
      <c r="D6" s="138">
        <f>SUM(D7,D36,D50)</f>
        <v>1329157</v>
      </c>
      <c r="E6" s="138">
        <f>SUM(E7,E36,E50)</f>
        <v>1415440.5596850002</v>
      </c>
      <c r="F6" s="139">
        <f>SUM(F7,F36,F50)</f>
        <v>869305</v>
      </c>
      <c r="G6" s="140">
        <f>+E6-D6</f>
        <v>86283.559685000218</v>
      </c>
      <c r="H6" s="141">
        <f t="shared" si="0"/>
        <v>6.4916002913877158</v>
      </c>
      <c r="I6" s="142"/>
      <c r="J6" s="143"/>
      <c r="K6" s="144"/>
      <c r="L6" s="145"/>
      <c r="M6" s="145"/>
      <c r="N6" s="145"/>
      <c r="O6" s="145"/>
      <c r="P6" s="146">
        <f>SUM(P7,P36,P50)</f>
        <v>1415440559.6849999</v>
      </c>
      <c r="Q6" s="147" t="s">
        <v>261</v>
      </c>
    </row>
    <row r="7" spans="1:32" ht="20.100000000000001" customHeight="1" thickTop="1" thickBot="1">
      <c r="A7" s="148"/>
      <c r="B7" s="352" t="s">
        <v>291</v>
      </c>
      <c r="C7" s="149" t="s">
        <v>284</v>
      </c>
      <c r="D7" s="150">
        <f>SUM(D8:D34)</f>
        <v>1013903</v>
      </c>
      <c r="E7" s="150">
        <f>SUM(E8:E34)</f>
        <v>1014933.3198000001</v>
      </c>
      <c r="F7" s="151">
        <f>SUM(F8:F34)-1</f>
        <v>582084</v>
      </c>
      <c r="G7" s="152">
        <f>+E7-D7</f>
        <v>1030.3198000000557</v>
      </c>
      <c r="H7" s="153">
        <f t="shared" si="0"/>
        <v>0.1016191686976028</v>
      </c>
      <c r="I7" s="154"/>
      <c r="J7" s="301"/>
      <c r="K7" s="306"/>
      <c r="L7" s="390"/>
      <c r="M7" s="390"/>
      <c r="N7" s="390"/>
      <c r="O7" s="390"/>
      <c r="P7" s="301">
        <f>SUM(P8,P13,P22,P24,P30)</f>
        <v>1014933319.8000001</v>
      </c>
      <c r="Q7" s="87" t="s">
        <v>261</v>
      </c>
      <c r="R7" s="15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</row>
    <row r="8" spans="1:32" ht="15.95" customHeight="1" thickTop="1" thickBot="1">
      <c r="A8" s="148"/>
      <c r="B8" s="343"/>
      <c r="C8" s="509" t="s">
        <v>299</v>
      </c>
      <c r="D8" s="576">
        <v>732689</v>
      </c>
      <c r="E8" s="486">
        <f>P8/1000</f>
        <v>733409.49999000004</v>
      </c>
      <c r="F8" s="357">
        <v>351377</v>
      </c>
      <c r="G8" s="486">
        <f>E8-D8</f>
        <v>720.49999000004027</v>
      </c>
      <c r="H8" s="489">
        <f t="shared" si="0"/>
        <v>9.8336400573782359E-2</v>
      </c>
      <c r="I8" s="59"/>
      <c r="J8" s="60"/>
      <c r="K8" s="9"/>
      <c r="L8" s="339"/>
      <c r="M8" s="339" t="s">
        <v>298</v>
      </c>
      <c r="N8" s="339"/>
      <c r="O8" s="339"/>
      <c r="P8" s="60">
        <f>SUM(P9:P12)</f>
        <v>733409499.99000001</v>
      </c>
      <c r="Q8" s="6" t="s">
        <v>261</v>
      </c>
      <c r="R8" s="26"/>
      <c r="S8" s="157"/>
      <c r="T8" s="26"/>
      <c r="U8" s="26"/>
      <c r="V8" s="26"/>
      <c r="W8" s="26"/>
      <c r="X8" s="26"/>
      <c r="Y8" s="26"/>
      <c r="Z8" s="26"/>
      <c r="AA8" s="26"/>
      <c r="AB8" s="26"/>
      <c r="AC8" s="26"/>
    </row>
    <row r="9" spans="1:32" ht="15.95" customHeight="1">
      <c r="A9" s="148"/>
      <c r="B9" s="343"/>
      <c r="C9" s="510"/>
      <c r="D9" s="577"/>
      <c r="E9" s="487"/>
      <c r="F9" s="359"/>
      <c r="G9" s="487"/>
      <c r="H9" s="490"/>
      <c r="I9" s="64" t="s">
        <v>316</v>
      </c>
      <c r="J9" s="301">
        <v>33143750</v>
      </c>
      <c r="K9" s="306" t="s">
        <v>261</v>
      </c>
      <c r="L9" s="299" t="s">
        <v>277</v>
      </c>
      <c r="M9" s="390">
        <v>12</v>
      </c>
      <c r="N9" s="390" t="s">
        <v>276</v>
      </c>
      <c r="O9" s="300" t="s">
        <v>279</v>
      </c>
      <c r="P9" s="307">
        <f>J9*M9</f>
        <v>397725000</v>
      </c>
      <c r="Q9" s="16" t="s">
        <v>261</v>
      </c>
      <c r="R9" s="26"/>
      <c r="S9" s="158"/>
      <c r="T9" s="26"/>
      <c r="U9" s="26"/>
      <c r="V9" s="26"/>
      <c r="W9" s="26"/>
      <c r="X9" s="26"/>
      <c r="Y9" s="26"/>
      <c r="Z9" s="26"/>
      <c r="AA9" s="26"/>
      <c r="AB9" s="26"/>
      <c r="AC9" s="26"/>
    </row>
    <row r="10" spans="1:32" ht="15.95" customHeight="1">
      <c r="A10" s="148"/>
      <c r="B10" s="343"/>
      <c r="C10" s="510"/>
      <c r="D10" s="577"/>
      <c r="E10" s="487"/>
      <c r="F10" s="359"/>
      <c r="G10" s="487"/>
      <c r="H10" s="490"/>
      <c r="I10" s="64" t="s">
        <v>155</v>
      </c>
      <c r="J10" s="301">
        <v>27569222.219999999</v>
      </c>
      <c r="K10" s="306" t="s">
        <v>261</v>
      </c>
      <c r="L10" s="299" t="s">
        <v>277</v>
      </c>
      <c r="M10" s="390">
        <v>4.5</v>
      </c>
      <c r="N10" s="390" t="s">
        <v>275</v>
      </c>
      <c r="O10" s="300" t="s">
        <v>279</v>
      </c>
      <c r="P10" s="301">
        <f>J10*M10</f>
        <v>124061499.98999999</v>
      </c>
      <c r="Q10" s="16" t="s">
        <v>261</v>
      </c>
      <c r="R10" s="26"/>
      <c r="S10" s="158"/>
      <c r="T10" s="26"/>
      <c r="U10" s="26"/>
      <c r="V10" s="26"/>
      <c r="W10" s="26"/>
      <c r="X10" s="26"/>
      <c r="Y10" s="26"/>
      <c r="Z10" s="26"/>
      <c r="AA10" s="26"/>
      <c r="AB10" s="26"/>
      <c r="AC10" s="26"/>
    </row>
    <row r="11" spans="1:32" ht="15.95" customHeight="1">
      <c r="A11" s="148"/>
      <c r="B11" s="343"/>
      <c r="C11" s="510"/>
      <c r="D11" s="577"/>
      <c r="E11" s="487"/>
      <c r="F11" s="358"/>
      <c r="G11" s="487"/>
      <c r="H11" s="490"/>
      <c r="I11" s="64" t="s">
        <v>91</v>
      </c>
      <c r="J11" s="301">
        <v>28321500</v>
      </c>
      <c r="K11" s="306" t="s">
        <v>261</v>
      </c>
      <c r="L11" s="299" t="s">
        <v>277</v>
      </c>
      <c r="M11" s="390">
        <v>2</v>
      </c>
      <c r="N11" s="390" t="s">
        <v>275</v>
      </c>
      <c r="O11" s="300" t="s">
        <v>279</v>
      </c>
      <c r="P11" s="301">
        <f>J11*M11</f>
        <v>56643000</v>
      </c>
      <c r="Q11" s="16" t="s">
        <v>261</v>
      </c>
      <c r="R11" s="26"/>
      <c r="S11" s="158"/>
      <c r="T11" s="26"/>
      <c r="U11" s="26"/>
      <c r="V11" s="26"/>
      <c r="W11" s="26"/>
      <c r="X11" s="26"/>
      <c r="Y11" s="26"/>
      <c r="Z11" s="26"/>
      <c r="AA11" s="26"/>
      <c r="AB11" s="26"/>
      <c r="AC11" s="26"/>
    </row>
    <row r="12" spans="1:32" ht="15.95" customHeight="1">
      <c r="A12" s="148"/>
      <c r="B12" s="343"/>
      <c r="C12" s="511"/>
      <c r="D12" s="578"/>
      <c r="E12" s="488"/>
      <c r="F12" s="359"/>
      <c r="G12" s="488"/>
      <c r="H12" s="491"/>
      <c r="I12" s="62" t="s">
        <v>6</v>
      </c>
      <c r="J12" s="301">
        <v>12915000</v>
      </c>
      <c r="K12" s="306" t="s">
        <v>261</v>
      </c>
      <c r="L12" s="299" t="s">
        <v>277</v>
      </c>
      <c r="M12" s="390">
        <v>12</v>
      </c>
      <c r="N12" s="390" t="s">
        <v>276</v>
      </c>
      <c r="O12" s="300" t="s">
        <v>279</v>
      </c>
      <c r="P12" s="301">
        <f>J12*M12</f>
        <v>154980000</v>
      </c>
      <c r="Q12" s="16" t="s">
        <v>261</v>
      </c>
      <c r="R12" s="26"/>
      <c r="S12" s="158"/>
      <c r="T12" s="26"/>
      <c r="U12" s="26"/>
      <c r="V12" s="26"/>
      <c r="W12" s="26"/>
      <c r="X12" s="26"/>
      <c r="Y12" s="26"/>
      <c r="Z12" s="26"/>
      <c r="AA12" s="26"/>
      <c r="AB12" s="26"/>
      <c r="AC12" s="26"/>
    </row>
    <row r="13" spans="1:32" s="12" customFormat="1" ht="15.95" customHeight="1">
      <c r="A13" s="56"/>
      <c r="B13" s="343"/>
      <c r="C13" s="509" t="s">
        <v>283</v>
      </c>
      <c r="D13" s="499">
        <v>100879</v>
      </c>
      <c r="E13" s="499">
        <f>+P13/1000</f>
        <v>100879.19981000002</v>
      </c>
      <c r="F13" s="495">
        <v>102644</v>
      </c>
      <c r="G13" s="486">
        <f t="shared" ref="G13:G59" si="1">+E13-D13</f>
        <v>0.19981000002007931</v>
      </c>
      <c r="H13" s="515">
        <f t="shared" si="0"/>
        <v>1.9806897374089681E-4</v>
      </c>
      <c r="I13" s="59"/>
      <c r="J13" s="60"/>
      <c r="K13" s="9"/>
      <c r="L13" s="339"/>
      <c r="M13" s="415" t="s">
        <v>298</v>
      </c>
      <c r="N13" s="415"/>
      <c r="O13" s="415"/>
      <c r="P13" s="60">
        <f>SUM(P14:P21)</f>
        <v>100879199.81000002</v>
      </c>
      <c r="Q13" s="6" t="s">
        <v>261</v>
      </c>
      <c r="AD13" s="26"/>
      <c r="AE13" s="125"/>
      <c r="AF13" s="125"/>
    </row>
    <row r="14" spans="1:32" s="12" customFormat="1" ht="15.95" customHeight="1">
      <c r="A14" s="56"/>
      <c r="B14" s="343"/>
      <c r="C14" s="510"/>
      <c r="D14" s="501"/>
      <c r="E14" s="501"/>
      <c r="F14" s="496"/>
      <c r="G14" s="487"/>
      <c r="H14" s="516"/>
      <c r="I14" s="64" t="s">
        <v>308</v>
      </c>
      <c r="J14" s="301">
        <v>2774650</v>
      </c>
      <c r="K14" s="306" t="s">
        <v>261</v>
      </c>
      <c r="L14" s="299" t="s">
        <v>277</v>
      </c>
      <c r="M14" s="390">
        <v>12</v>
      </c>
      <c r="N14" s="390" t="s">
        <v>276</v>
      </c>
      <c r="O14" s="300" t="s">
        <v>279</v>
      </c>
      <c r="P14" s="301">
        <f>(J14*M14)</f>
        <v>33295800</v>
      </c>
      <c r="Q14" s="16" t="s">
        <v>261</v>
      </c>
      <c r="AD14" s="26"/>
      <c r="AE14" s="125"/>
      <c r="AF14" s="125"/>
    </row>
    <row r="15" spans="1:32" s="12" customFormat="1" ht="15.95" customHeight="1">
      <c r="A15" s="56"/>
      <c r="B15" s="343"/>
      <c r="C15" s="510"/>
      <c r="D15" s="501"/>
      <c r="E15" s="501"/>
      <c r="F15" s="496"/>
      <c r="G15" s="487"/>
      <c r="H15" s="516"/>
      <c r="I15" s="64" t="s">
        <v>259</v>
      </c>
      <c r="J15" s="301">
        <v>720000</v>
      </c>
      <c r="K15" s="306" t="s">
        <v>261</v>
      </c>
      <c r="L15" s="299" t="s">
        <v>277</v>
      </c>
      <c r="M15" s="390">
        <v>12</v>
      </c>
      <c r="N15" s="390" t="s">
        <v>276</v>
      </c>
      <c r="O15" s="300" t="s">
        <v>279</v>
      </c>
      <c r="P15" s="301">
        <f t="shared" ref="P15:P21" si="2">(J15*M15)</f>
        <v>8640000</v>
      </c>
      <c r="Q15" s="16" t="s">
        <v>261</v>
      </c>
      <c r="AD15" s="26"/>
      <c r="AE15" s="125"/>
      <c r="AF15" s="125"/>
    </row>
    <row r="16" spans="1:32" s="12" customFormat="1" ht="15.95" customHeight="1">
      <c r="A16" s="56"/>
      <c r="B16" s="343"/>
      <c r="C16" s="510"/>
      <c r="D16" s="501"/>
      <c r="E16" s="501"/>
      <c r="F16" s="496"/>
      <c r="G16" s="487"/>
      <c r="H16" s="516"/>
      <c r="I16" s="64" t="s">
        <v>309</v>
      </c>
      <c r="J16" s="301">
        <v>1382500</v>
      </c>
      <c r="K16" s="306" t="s">
        <v>261</v>
      </c>
      <c r="L16" s="299" t="s">
        <v>277</v>
      </c>
      <c r="M16" s="390">
        <v>12</v>
      </c>
      <c r="N16" s="390" t="s">
        <v>276</v>
      </c>
      <c r="O16" s="300" t="s">
        <v>279</v>
      </c>
      <c r="P16" s="301">
        <f t="shared" si="2"/>
        <v>16590000</v>
      </c>
      <c r="Q16" s="16" t="s">
        <v>261</v>
      </c>
      <c r="AD16" s="26"/>
      <c r="AE16" s="125"/>
      <c r="AF16" s="125"/>
    </row>
    <row r="17" spans="1:32" s="12" customFormat="1" ht="15.95" customHeight="1">
      <c r="A17" s="56"/>
      <c r="B17" s="343"/>
      <c r="C17" s="510"/>
      <c r="D17" s="501"/>
      <c r="E17" s="501"/>
      <c r="F17" s="496"/>
      <c r="G17" s="487"/>
      <c r="H17" s="516"/>
      <c r="I17" s="64" t="s">
        <v>267</v>
      </c>
      <c r="J17" s="301">
        <v>1133333.33</v>
      </c>
      <c r="K17" s="306" t="s">
        <v>261</v>
      </c>
      <c r="L17" s="299" t="s">
        <v>277</v>
      </c>
      <c r="M17" s="390">
        <v>12</v>
      </c>
      <c r="N17" s="390" t="s">
        <v>276</v>
      </c>
      <c r="O17" s="300" t="s">
        <v>279</v>
      </c>
      <c r="P17" s="301">
        <f t="shared" si="2"/>
        <v>13599999.960000001</v>
      </c>
      <c r="Q17" s="16" t="s">
        <v>261</v>
      </c>
      <c r="AD17" s="26"/>
      <c r="AE17" s="125"/>
      <c r="AF17" s="125"/>
    </row>
    <row r="18" spans="1:32" s="12" customFormat="1" ht="15.95" customHeight="1">
      <c r="A18" s="56"/>
      <c r="B18" s="343"/>
      <c r="C18" s="510"/>
      <c r="D18" s="501"/>
      <c r="E18" s="501"/>
      <c r="F18" s="496"/>
      <c r="G18" s="487"/>
      <c r="H18" s="516"/>
      <c r="I18" s="64" t="s">
        <v>280</v>
      </c>
      <c r="J18" s="301">
        <v>1483333.33</v>
      </c>
      <c r="K18" s="306" t="s">
        <v>261</v>
      </c>
      <c r="L18" s="299" t="s">
        <v>277</v>
      </c>
      <c r="M18" s="390">
        <v>12</v>
      </c>
      <c r="N18" s="390" t="s">
        <v>276</v>
      </c>
      <c r="O18" s="300" t="s">
        <v>279</v>
      </c>
      <c r="P18" s="301">
        <f t="shared" si="2"/>
        <v>17799999.960000001</v>
      </c>
      <c r="Q18" s="16" t="s">
        <v>261</v>
      </c>
      <c r="AD18" s="26"/>
      <c r="AE18" s="125"/>
      <c r="AF18" s="125"/>
    </row>
    <row r="19" spans="1:32" s="12" customFormat="1" ht="15.95" customHeight="1">
      <c r="A19" s="56"/>
      <c r="B19" s="343"/>
      <c r="C19" s="510"/>
      <c r="D19" s="501"/>
      <c r="E19" s="501"/>
      <c r="F19" s="496"/>
      <c r="G19" s="487"/>
      <c r="H19" s="516"/>
      <c r="I19" s="64" t="s">
        <v>97</v>
      </c>
      <c r="J19" s="301">
        <v>104166.66</v>
      </c>
      <c r="K19" s="306" t="s">
        <v>261</v>
      </c>
      <c r="L19" s="299" t="s">
        <v>277</v>
      </c>
      <c r="M19" s="390">
        <v>12</v>
      </c>
      <c r="N19" s="390" t="s">
        <v>276</v>
      </c>
      <c r="O19" s="300" t="s">
        <v>279</v>
      </c>
      <c r="P19" s="301">
        <f t="shared" si="2"/>
        <v>1249999.92</v>
      </c>
      <c r="Q19" s="16" t="s">
        <v>261</v>
      </c>
      <c r="AD19" s="26"/>
      <c r="AE19" s="125"/>
      <c r="AF19" s="125"/>
    </row>
    <row r="20" spans="1:32" s="12" customFormat="1" ht="15.95" customHeight="1">
      <c r="A20" s="56"/>
      <c r="B20" s="343"/>
      <c r="C20" s="510"/>
      <c r="D20" s="501"/>
      <c r="E20" s="501"/>
      <c r="F20" s="359"/>
      <c r="G20" s="487"/>
      <c r="H20" s="516"/>
      <c r="I20" s="308" t="s">
        <v>444</v>
      </c>
      <c r="J20" s="301">
        <v>282127.27</v>
      </c>
      <c r="K20" s="306" t="s">
        <v>261</v>
      </c>
      <c r="L20" s="299" t="s">
        <v>277</v>
      </c>
      <c r="M20" s="390">
        <v>11</v>
      </c>
      <c r="N20" s="390" t="s">
        <v>445</v>
      </c>
      <c r="O20" s="300" t="s">
        <v>279</v>
      </c>
      <c r="P20" s="301">
        <f t="shared" ref="P20" si="3">(J20*M20)</f>
        <v>3103399.97</v>
      </c>
      <c r="Q20" s="16" t="s">
        <v>261</v>
      </c>
      <c r="AD20" s="26"/>
      <c r="AE20" s="125"/>
      <c r="AF20" s="125"/>
    </row>
    <row r="21" spans="1:32" s="12" customFormat="1" ht="15.95" customHeight="1">
      <c r="A21" s="56"/>
      <c r="B21" s="343"/>
      <c r="C21" s="510"/>
      <c r="D21" s="501"/>
      <c r="E21" s="501"/>
      <c r="F21" s="359"/>
      <c r="G21" s="487"/>
      <c r="H21" s="516"/>
      <c r="I21" s="345" t="s">
        <v>393</v>
      </c>
      <c r="J21" s="301">
        <v>3300000</v>
      </c>
      <c r="K21" s="306" t="s">
        <v>261</v>
      </c>
      <c r="L21" s="299" t="s">
        <v>277</v>
      </c>
      <c r="M21" s="390">
        <v>2</v>
      </c>
      <c r="N21" s="390" t="s">
        <v>275</v>
      </c>
      <c r="O21" s="300" t="s">
        <v>279</v>
      </c>
      <c r="P21" s="301">
        <f t="shared" si="2"/>
        <v>6600000</v>
      </c>
      <c r="Q21" s="16" t="s">
        <v>261</v>
      </c>
      <c r="AD21" s="26"/>
      <c r="AE21" s="125"/>
      <c r="AF21" s="125"/>
    </row>
    <row r="22" spans="1:32" s="12" customFormat="1" ht="15.95" customHeight="1">
      <c r="A22" s="56"/>
      <c r="B22" s="343"/>
      <c r="C22" s="509" t="s">
        <v>137</v>
      </c>
      <c r="D22" s="499">
        <v>70396</v>
      </c>
      <c r="E22" s="499">
        <f>(+P22/1000)</f>
        <v>70395.62</v>
      </c>
      <c r="F22" s="495">
        <v>48032</v>
      </c>
      <c r="G22" s="486">
        <f>E22-D22</f>
        <v>-0.38000000000465661</v>
      </c>
      <c r="H22" s="515">
        <f t="shared" si="0"/>
        <v>-5.3980339792695131E-4</v>
      </c>
      <c r="I22" s="159"/>
      <c r="J22" s="60"/>
      <c r="K22" s="9"/>
      <c r="L22" s="9"/>
      <c r="M22" s="415" t="s">
        <v>298</v>
      </c>
      <c r="N22" s="415"/>
      <c r="O22" s="415"/>
      <c r="P22" s="60">
        <f>SUM(P23:P23)</f>
        <v>70395620</v>
      </c>
      <c r="Q22" s="6" t="s">
        <v>261</v>
      </c>
      <c r="AD22" s="26"/>
      <c r="AE22" s="125"/>
      <c r="AF22" s="125"/>
    </row>
    <row r="23" spans="1:32" s="12" customFormat="1" ht="15.95" customHeight="1">
      <c r="A23" s="56"/>
      <c r="B23" s="343"/>
      <c r="C23" s="511"/>
      <c r="D23" s="502"/>
      <c r="E23" s="502"/>
      <c r="F23" s="504"/>
      <c r="G23" s="488">
        <f t="shared" si="1"/>
        <v>0</v>
      </c>
      <c r="H23" s="517" t="e">
        <f t="shared" si="0"/>
        <v>#DIV/0!</v>
      </c>
      <c r="I23" s="64" t="s">
        <v>137</v>
      </c>
      <c r="J23" s="301">
        <f>SUM(P8,P13,P33)-P18-P12</f>
        <v>671708699.84000003</v>
      </c>
      <c r="K23" s="309" t="s">
        <v>261</v>
      </c>
      <c r="L23" s="390" t="s">
        <v>269</v>
      </c>
      <c r="M23" s="390">
        <v>12</v>
      </c>
      <c r="N23" s="390"/>
      <c r="O23" s="300" t="s">
        <v>279</v>
      </c>
      <c r="P23" s="301">
        <f>ROUND(J23/12,-1)+11542400+2877430+70</f>
        <v>70395620</v>
      </c>
      <c r="Q23" s="16" t="s">
        <v>261</v>
      </c>
      <c r="AD23" s="26"/>
      <c r="AE23" s="125"/>
      <c r="AF23" s="125"/>
    </row>
    <row r="24" spans="1:32" s="12" customFormat="1" ht="15.95" customHeight="1">
      <c r="A24" s="56"/>
      <c r="B24" s="343"/>
      <c r="C24" s="546" t="s">
        <v>239</v>
      </c>
      <c r="D24" s="585">
        <v>88289</v>
      </c>
      <c r="E24" s="585">
        <f>+P24/1000</f>
        <v>88349</v>
      </c>
      <c r="F24" s="531">
        <v>55737</v>
      </c>
      <c r="G24" s="556">
        <f t="shared" si="1"/>
        <v>60</v>
      </c>
      <c r="H24" s="587">
        <f t="shared" si="0"/>
        <v>6.7958635843649834E-2</v>
      </c>
      <c r="I24" s="159"/>
      <c r="J24" s="60"/>
      <c r="K24" s="9"/>
      <c r="L24" s="339"/>
      <c r="M24" s="415" t="s">
        <v>298</v>
      </c>
      <c r="N24" s="415"/>
      <c r="O24" s="415"/>
      <c r="P24" s="60">
        <f>SUM(P25:P29)</f>
        <v>88349000</v>
      </c>
      <c r="Q24" s="6" t="s">
        <v>261</v>
      </c>
      <c r="AD24" s="26"/>
      <c r="AE24" s="125"/>
      <c r="AF24" s="125"/>
    </row>
    <row r="25" spans="1:32" s="12" customFormat="1" ht="15.95" customHeight="1">
      <c r="A25" s="56"/>
      <c r="B25" s="343"/>
      <c r="C25" s="546"/>
      <c r="D25" s="585"/>
      <c r="E25" s="585"/>
      <c r="F25" s="531"/>
      <c r="G25" s="556">
        <f t="shared" si="1"/>
        <v>0</v>
      </c>
      <c r="H25" s="587" t="e">
        <f t="shared" si="0"/>
        <v>#DIV/0!</v>
      </c>
      <c r="I25" s="345" t="s">
        <v>102</v>
      </c>
      <c r="J25" s="301">
        <f>SUM(P8,P13,P33)-P18</f>
        <v>826688699.84000003</v>
      </c>
      <c r="K25" s="306" t="s">
        <v>261</v>
      </c>
      <c r="L25" s="299" t="s">
        <v>277</v>
      </c>
      <c r="M25" s="603">
        <v>4.4999999999999998E-2</v>
      </c>
      <c r="N25" s="603"/>
      <c r="O25" s="300" t="s">
        <v>279</v>
      </c>
      <c r="P25" s="301">
        <f>ROUNDUP(SUM(J25*M25),-3)</f>
        <v>37201000</v>
      </c>
      <c r="Q25" s="16" t="s">
        <v>261</v>
      </c>
      <c r="AD25" s="50"/>
      <c r="AE25" s="125"/>
      <c r="AF25" s="125"/>
    </row>
    <row r="26" spans="1:32" s="12" customFormat="1" ht="15.95" customHeight="1">
      <c r="A26" s="56"/>
      <c r="B26" s="343"/>
      <c r="C26" s="546"/>
      <c r="D26" s="585"/>
      <c r="E26" s="585"/>
      <c r="F26" s="531"/>
      <c r="G26" s="556">
        <f t="shared" si="1"/>
        <v>0</v>
      </c>
      <c r="H26" s="587" t="e">
        <f t="shared" si="0"/>
        <v>#DIV/0!</v>
      </c>
      <c r="I26" s="345" t="s">
        <v>127</v>
      </c>
      <c r="J26" s="301">
        <f>+J25</f>
        <v>826688699.84000003</v>
      </c>
      <c r="K26" s="306" t="s">
        <v>261</v>
      </c>
      <c r="L26" s="299" t="s">
        <v>277</v>
      </c>
      <c r="M26" s="555">
        <v>3.4950000000000002E-2</v>
      </c>
      <c r="N26" s="555"/>
      <c r="O26" s="390" t="s">
        <v>279</v>
      </c>
      <c r="P26" s="301">
        <f>ROUNDUP(SUM(J26*M26),-3)</f>
        <v>28893000</v>
      </c>
      <c r="Q26" s="16" t="s">
        <v>261</v>
      </c>
      <c r="AD26" s="50" t="s">
        <v>313</v>
      </c>
      <c r="AE26" s="125"/>
      <c r="AF26" s="125"/>
    </row>
    <row r="27" spans="1:32" s="12" customFormat="1" ht="15.95" customHeight="1">
      <c r="A27" s="56"/>
      <c r="B27" s="343"/>
      <c r="C27" s="546"/>
      <c r="D27" s="585"/>
      <c r="E27" s="585"/>
      <c r="F27" s="531"/>
      <c r="G27" s="556">
        <f t="shared" si="1"/>
        <v>0</v>
      </c>
      <c r="H27" s="587" t="e">
        <f t="shared" si="0"/>
        <v>#DIV/0!</v>
      </c>
      <c r="I27" s="345" t="s">
        <v>135</v>
      </c>
      <c r="J27" s="301">
        <f>+P26</f>
        <v>28893000</v>
      </c>
      <c r="K27" s="306" t="s">
        <v>261</v>
      </c>
      <c r="L27" s="299" t="s">
        <v>277</v>
      </c>
      <c r="M27" s="555">
        <v>0.1227</v>
      </c>
      <c r="N27" s="555"/>
      <c r="O27" s="390" t="s">
        <v>279</v>
      </c>
      <c r="P27" s="301">
        <f>ROUNDUP(SUM(J27*M27),-3)</f>
        <v>3546000</v>
      </c>
      <c r="Q27" s="16" t="s">
        <v>261</v>
      </c>
      <c r="AD27" s="50"/>
      <c r="AE27" s="125"/>
      <c r="AF27" s="125"/>
    </row>
    <row r="28" spans="1:32" s="12" customFormat="1" ht="15.95" customHeight="1">
      <c r="A28" s="56"/>
      <c r="B28" s="343"/>
      <c r="C28" s="546"/>
      <c r="D28" s="585"/>
      <c r="E28" s="585"/>
      <c r="F28" s="531"/>
      <c r="G28" s="556">
        <f t="shared" si="1"/>
        <v>0</v>
      </c>
      <c r="H28" s="587" t="e">
        <f t="shared" si="0"/>
        <v>#DIV/0!</v>
      </c>
      <c r="I28" s="345" t="s">
        <v>139</v>
      </c>
      <c r="J28" s="301">
        <v>767941200</v>
      </c>
      <c r="K28" s="306" t="s">
        <v>261</v>
      </c>
      <c r="L28" s="299" t="s">
        <v>277</v>
      </c>
      <c r="M28" s="555">
        <v>1.7000000000000001E-2</v>
      </c>
      <c r="N28" s="555"/>
      <c r="O28" s="390" t="s">
        <v>279</v>
      </c>
      <c r="P28" s="301">
        <f>ROUNDUP(SUM(J28*M28),-3)</f>
        <v>13056000</v>
      </c>
      <c r="Q28" s="16" t="s">
        <v>261</v>
      </c>
      <c r="AD28" s="50"/>
      <c r="AE28" s="125"/>
      <c r="AF28" s="125"/>
    </row>
    <row r="29" spans="1:32" s="12" customFormat="1" ht="15.95" customHeight="1">
      <c r="A29" s="56"/>
      <c r="B29" s="343"/>
      <c r="C29" s="546"/>
      <c r="D29" s="585"/>
      <c r="E29" s="585"/>
      <c r="F29" s="531"/>
      <c r="G29" s="556">
        <f t="shared" si="1"/>
        <v>0</v>
      </c>
      <c r="H29" s="587" t="e">
        <f t="shared" si="0"/>
        <v>#DIV/0!</v>
      </c>
      <c r="I29" s="160" t="s">
        <v>112</v>
      </c>
      <c r="J29" s="65">
        <v>767941200</v>
      </c>
      <c r="K29" s="20" t="s">
        <v>261</v>
      </c>
      <c r="L29" s="21" t="s">
        <v>277</v>
      </c>
      <c r="M29" s="586">
        <v>7.3600000000000002E-3</v>
      </c>
      <c r="N29" s="586"/>
      <c r="O29" s="389" t="s">
        <v>279</v>
      </c>
      <c r="P29" s="301">
        <f>ROUNDUP(SUM(J29*M29),-3)</f>
        <v>5653000</v>
      </c>
      <c r="Q29" s="23" t="s">
        <v>261</v>
      </c>
      <c r="AD29" s="50"/>
      <c r="AE29" s="125"/>
      <c r="AF29" s="125"/>
    </row>
    <row r="30" spans="1:32" s="12" customFormat="1" ht="15.95" customHeight="1">
      <c r="A30" s="56" t="s">
        <v>292</v>
      </c>
      <c r="B30" s="343"/>
      <c r="C30" s="509" t="s">
        <v>173</v>
      </c>
      <c r="D30" s="499">
        <v>21650</v>
      </c>
      <c r="E30" s="499">
        <f>+P30/1000</f>
        <v>21900</v>
      </c>
      <c r="F30" s="531">
        <v>24295</v>
      </c>
      <c r="G30" s="486">
        <f>+E30-D30</f>
        <v>250</v>
      </c>
      <c r="H30" s="515">
        <f t="shared" si="0"/>
        <v>1.1547344110854503</v>
      </c>
      <c r="I30" s="159"/>
      <c r="J30" s="60"/>
      <c r="K30" s="9"/>
      <c r="L30" s="339"/>
      <c r="M30" s="339" t="s">
        <v>298</v>
      </c>
      <c r="N30" s="339"/>
      <c r="O30" s="339"/>
      <c r="P30" s="60">
        <f>SUM(P31:P35)</f>
        <v>21900000</v>
      </c>
      <c r="Q30" s="6" t="s">
        <v>261</v>
      </c>
      <c r="AD30" s="50"/>
      <c r="AE30" s="125"/>
      <c r="AF30" s="125"/>
    </row>
    <row r="31" spans="1:32" s="12" customFormat="1" ht="15.95" customHeight="1">
      <c r="A31" s="56"/>
      <c r="B31" s="343"/>
      <c r="C31" s="510"/>
      <c r="D31" s="501"/>
      <c r="E31" s="501"/>
      <c r="F31" s="531"/>
      <c r="G31" s="487"/>
      <c r="H31" s="516"/>
      <c r="I31" s="345" t="s">
        <v>124</v>
      </c>
      <c r="J31" s="301">
        <v>550000</v>
      </c>
      <c r="K31" s="306" t="s">
        <v>261</v>
      </c>
      <c r="L31" s="299" t="s">
        <v>277</v>
      </c>
      <c r="M31" s="390">
        <v>13</v>
      </c>
      <c r="N31" s="390" t="s">
        <v>407</v>
      </c>
      <c r="O31" s="300" t="s">
        <v>279</v>
      </c>
      <c r="P31" s="301">
        <f>+J31*M31</f>
        <v>7150000</v>
      </c>
      <c r="Q31" s="16" t="s">
        <v>261</v>
      </c>
      <c r="AD31" s="50"/>
      <c r="AE31" s="125"/>
      <c r="AF31" s="125"/>
    </row>
    <row r="32" spans="1:32" s="12" customFormat="1" ht="15.95" customHeight="1">
      <c r="A32" s="56"/>
      <c r="B32" s="343"/>
      <c r="C32" s="510"/>
      <c r="D32" s="501"/>
      <c r="E32" s="501"/>
      <c r="F32" s="531"/>
      <c r="G32" s="487"/>
      <c r="H32" s="516"/>
      <c r="I32" s="345" t="s">
        <v>32</v>
      </c>
      <c r="J32" s="301">
        <v>50000</v>
      </c>
      <c r="K32" s="306" t="s">
        <v>261</v>
      </c>
      <c r="L32" s="299" t="s">
        <v>277</v>
      </c>
      <c r="M32" s="390">
        <v>4</v>
      </c>
      <c r="N32" s="390" t="s">
        <v>275</v>
      </c>
      <c r="O32" s="300" t="s">
        <v>279</v>
      </c>
      <c r="P32" s="301">
        <f>+J32*M32</f>
        <v>200000</v>
      </c>
      <c r="Q32" s="16" t="s">
        <v>261</v>
      </c>
      <c r="AD32" s="50"/>
      <c r="AE32" s="125"/>
      <c r="AF32" s="125"/>
    </row>
    <row r="33" spans="1:32" s="12" customFormat="1" ht="15.95" customHeight="1">
      <c r="A33" s="56"/>
      <c r="B33" s="343"/>
      <c r="C33" s="510"/>
      <c r="D33" s="501"/>
      <c r="E33" s="501"/>
      <c r="F33" s="531"/>
      <c r="G33" s="487"/>
      <c r="H33" s="516"/>
      <c r="I33" s="345" t="s">
        <v>322</v>
      </c>
      <c r="J33" s="301">
        <v>3400000</v>
      </c>
      <c r="K33" s="306" t="s">
        <v>261</v>
      </c>
      <c r="L33" s="299" t="s">
        <v>277</v>
      </c>
      <c r="M33" s="390">
        <v>3</v>
      </c>
      <c r="N33" s="390" t="s">
        <v>275</v>
      </c>
      <c r="O33" s="300" t="s">
        <v>279</v>
      </c>
      <c r="P33" s="301">
        <f>+J33*M33</f>
        <v>10200000</v>
      </c>
      <c r="Q33" s="16" t="s">
        <v>261</v>
      </c>
      <c r="AD33" s="50"/>
      <c r="AE33" s="125"/>
      <c r="AF33" s="125"/>
    </row>
    <row r="34" spans="1:32" s="12" customFormat="1" ht="15.95" customHeight="1" thickBot="1">
      <c r="A34" s="56"/>
      <c r="B34" s="343"/>
      <c r="C34" s="510"/>
      <c r="D34" s="501"/>
      <c r="E34" s="501"/>
      <c r="F34" s="557"/>
      <c r="G34" s="487"/>
      <c r="H34" s="516"/>
      <c r="I34" s="161" t="s">
        <v>9</v>
      </c>
      <c r="J34" s="301">
        <v>1250000</v>
      </c>
      <c r="K34" s="306" t="s">
        <v>261</v>
      </c>
      <c r="L34" s="299" t="s">
        <v>277</v>
      </c>
      <c r="M34" s="390">
        <v>3</v>
      </c>
      <c r="N34" s="390" t="s">
        <v>275</v>
      </c>
      <c r="O34" s="300" t="s">
        <v>279</v>
      </c>
      <c r="P34" s="301">
        <f>+J34*M34</f>
        <v>3750000</v>
      </c>
      <c r="Q34" s="16" t="s">
        <v>261</v>
      </c>
      <c r="AD34" s="50"/>
      <c r="AE34" s="125"/>
      <c r="AF34" s="125"/>
    </row>
    <row r="35" spans="1:32" s="12" customFormat="1" ht="15.95" customHeight="1">
      <c r="A35" s="56"/>
      <c r="B35" s="344"/>
      <c r="C35" s="511"/>
      <c r="D35" s="502"/>
      <c r="E35" s="502"/>
      <c r="F35" s="358"/>
      <c r="G35" s="488"/>
      <c r="H35" s="517"/>
      <c r="I35" s="160" t="s">
        <v>131</v>
      </c>
      <c r="J35" s="65">
        <v>300000</v>
      </c>
      <c r="K35" s="20" t="s">
        <v>261</v>
      </c>
      <c r="L35" s="21" t="s">
        <v>277</v>
      </c>
      <c r="M35" s="389">
        <v>2</v>
      </c>
      <c r="N35" s="389" t="s">
        <v>275</v>
      </c>
      <c r="O35" s="22" t="s">
        <v>279</v>
      </c>
      <c r="P35" s="65">
        <f>+J35*M35</f>
        <v>600000</v>
      </c>
      <c r="Q35" s="23" t="s">
        <v>261</v>
      </c>
      <c r="AD35" s="50"/>
      <c r="AE35" s="125"/>
      <c r="AF35" s="125"/>
    </row>
    <row r="36" spans="1:32" s="12" customFormat="1" ht="20.100000000000001" customHeight="1">
      <c r="A36" s="40" t="s">
        <v>281</v>
      </c>
      <c r="B36" s="162" t="s">
        <v>272</v>
      </c>
      <c r="C36" s="149" t="s">
        <v>284</v>
      </c>
      <c r="D36" s="150">
        <f>SUM(D37,D41,D44)</f>
        <v>13600</v>
      </c>
      <c r="E36" s="150">
        <f>SUM(E37:E49)</f>
        <v>13600</v>
      </c>
      <c r="F36" s="151">
        <f>SUM(F37,F44)</f>
        <v>12549</v>
      </c>
      <c r="G36" s="152">
        <f t="shared" si="1"/>
        <v>0</v>
      </c>
      <c r="H36" s="153">
        <f t="shared" si="0"/>
        <v>0</v>
      </c>
      <c r="I36" s="310"/>
      <c r="J36" s="301"/>
      <c r="K36" s="306"/>
      <c r="L36" s="390"/>
      <c r="M36" s="390"/>
      <c r="N36" s="390"/>
      <c r="O36" s="390"/>
      <c r="P36" s="301">
        <f>SUM(P37,P41,P44)</f>
        <v>13600000</v>
      </c>
      <c r="Q36" s="16" t="s">
        <v>261</v>
      </c>
      <c r="AD36" s="50"/>
      <c r="AE36" s="125"/>
      <c r="AF36" s="125"/>
    </row>
    <row r="37" spans="1:32" s="12" customFormat="1" ht="15.95" customHeight="1">
      <c r="A37" s="56"/>
      <c r="B37" s="352" t="s">
        <v>293</v>
      </c>
      <c r="C37" s="509" t="s">
        <v>53</v>
      </c>
      <c r="D37" s="499">
        <v>1800</v>
      </c>
      <c r="E37" s="499">
        <f>+P37/1000</f>
        <v>1800</v>
      </c>
      <c r="F37" s="495">
        <v>9823</v>
      </c>
      <c r="G37" s="486">
        <f t="shared" si="1"/>
        <v>0</v>
      </c>
      <c r="H37" s="489">
        <f t="shared" si="0"/>
        <v>0</v>
      </c>
      <c r="I37" s="17"/>
      <c r="J37" s="60"/>
      <c r="K37" s="9"/>
      <c r="L37" s="339"/>
      <c r="M37" s="415" t="s">
        <v>298</v>
      </c>
      <c r="N37" s="415"/>
      <c r="O37" s="415"/>
      <c r="P37" s="60">
        <f>SUM(P38:P40)</f>
        <v>1800000</v>
      </c>
      <c r="Q37" s="6" t="s">
        <v>261</v>
      </c>
      <c r="AD37" s="50"/>
      <c r="AE37" s="125"/>
      <c r="AF37" s="125"/>
    </row>
    <row r="38" spans="1:32" s="12" customFormat="1" ht="15.95" customHeight="1">
      <c r="A38" s="56"/>
      <c r="B38" s="343"/>
      <c r="C38" s="510"/>
      <c r="D38" s="501"/>
      <c r="E38" s="501"/>
      <c r="F38" s="496"/>
      <c r="G38" s="487"/>
      <c r="H38" s="490"/>
      <c r="I38" s="308" t="s">
        <v>43</v>
      </c>
      <c r="J38" s="301">
        <v>70000</v>
      </c>
      <c r="K38" s="306" t="s">
        <v>261</v>
      </c>
      <c r="L38" s="299" t="s">
        <v>277</v>
      </c>
      <c r="M38" s="390">
        <v>10</v>
      </c>
      <c r="N38" s="390" t="s">
        <v>471</v>
      </c>
      <c r="O38" s="300" t="s">
        <v>279</v>
      </c>
      <c r="P38" s="301">
        <f>SUM(J38*M38)</f>
        <v>700000</v>
      </c>
      <c r="Q38" s="16" t="s">
        <v>261</v>
      </c>
      <c r="AD38" s="50"/>
      <c r="AE38" s="125"/>
      <c r="AF38" s="125"/>
    </row>
    <row r="39" spans="1:32" s="12" customFormat="1" ht="15.95" customHeight="1">
      <c r="A39" s="56"/>
      <c r="B39" s="343"/>
      <c r="C39" s="510"/>
      <c r="D39" s="501"/>
      <c r="E39" s="501"/>
      <c r="F39" s="504"/>
      <c r="G39" s="487"/>
      <c r="H39" s="490"/>
      <c r="I39" s="345" t="s">
        <v>85</v>
      </c>
      <c r="J39" s="301">
        <v>20000</v>
      </c>
      <c r="K39" s="306" t="s">
        <v>261</v>
      </c>
      <c r="L39" s="299" t="s">
        <v>277</v>
      </c>
      <c r="M39" s="390">
        <v>5</v>
      </c>
      <c r="N39" s="390" t="s">
        <v>275</v>
      </c>
      <c r="O39" s="300" t="s">
        <v>279</v>
      </c>
      <c r="P39" s="301">
        <f>SUM(J39*M39)</f>
        <v>100000</v>
      </c>
      <c r="Q39" s="16" t="s">
        <v>261</v>
      </c>
      <c r="AD39" s="50"/>
      <c r="AE39" s="125"/>
      <c r="AF39" s="125"/>
    </row>
    <row r="40" spans="1:32" s="12" customFormat="1" ht="15.95" customHeight="1">
      <c r="A40" s="163"/>
      <c r="B40" s="343"/>
      <c r="C40" s="511"/>
      <c r="D40" s="502"/>
      <c r="E40" s="502"/>
      <c r="F40" s="359"/>
      <c r="G40" s="488"/>
      <c r="H40" s="491"/>
      <c r="I40" s="160" t="s">
        <v>340</v>
      </c>
      <c r="J40" s="301">
        <v>100000</v>
      </c>
      <c r="K40" s="306" t="s">
        <v>261</v>
      </c>
      <c r="L40" s="299" t="s">
        <v>277</v>
      </c>
      <c r="M40" s="390">
        <v>10</v>
      </c>
      <c r="N40" s="390" t="s">
        <v>275</v>
      </c>
      <c r="O40" s="300" t="s">
        <v>279</v>
      </c>
      <c r="P40" s="301">
        <f>SUM(J40*M40)</f>
        <v>1000000</v>
      </c>
      <c r="Q40" s="16" t="s">
        <v>261</v>
      </c>
      <c r="AD40" s="50"/>
      <c r="AE40" s="125"/>
      <c r="AF40" s="125"/>
    </row>
    <row r="41" spans="1:32" s="12" customFormat="1" ht="15.95" customHeight="1">
      <c r="A41" s="164"/>
      <c r="B41" s="352"/>
      <c r="C41" s="509" t="s">
        <v>154</v>
      </c>
      <c r="D41" s="499">
        <v>1800</v>
      </c>
      <c r="E41" s="499">
        <f>P41/1000</f>
        <v>1800</v>
      </c>
      <c r="F41" s="357"/>
      <c r="G41" s="486">
        <f>E41-D41</f>
        <v>0</v>
      </c>
      <c r="H41" s="515">
        <f>G41/D41*100</f>
        <v>0</v>
      </c>
      <c r="I41" s="165"/>
      <c r="J41" s="60"/>
      <c r="K41" s="9"/>
      <c r="L41" s="339"/>
      <c r="M41" s="415" t="s">
        <v>298</v>
      </c>
      <c r="N41" s="415"/>
      <c r="O41" s="415"/>
      <c r="P41" s="60">
        <f>SUM(P42:P43)</f>
        <v>1800000</v>
      </c>
      <c r="Q41" s="6" t="s">
        <v>261</v>
      </c>
      <c r="AD41" s="50"/>
      <c r="AE41" s="125"/>
      <c r="AF41" s="125"/>
    </row>
    <row r="42" spans="1:32" s="12" customFormat="1" ht="15.95" customHeight="1">
      <c r="A42" s="56"/>
      <c r="B42" s="352"/>
      <c r="C42" s="510"/>
      <c r="D42" s="501"/>
      <c r="E42" s="501"/>
      <c r="F42" s="359"/>
      <c r="G42" s="487"/>
      <c r="H42" s="516"/>
      <c r="I42" s="308" t="s">
        <v>15</v>
      </c>
      <c r="J42" s="301">
        <v>250000</v>
      </c>
      <c r="K42" s="306" t="s">
        <v>261</v>
      </c>
      <c r="L42" s="299" t="s">
        <v>277</v>
      </c>
      <c r="M42" s="390">
        <v>4</v>
      </c>
      <c r="N42" s="390" t="s">
        <v>275</v>
      </c>
      <c r="O42" s="300" t="s">
        <v>279</v>
      </c>
      <c r="P42" s="301">
        <f>SUM(J42*M42)</f>
        <v>1000000</v>
      </c>
      <c r="Q42" s="16" t="s">
        <v>261</v>
      </c>
      <c r="AD42" s="50"/>
      <c r="AE42" s="125"/>
      <c r="AF42" s="125"/>
    </row>
    <row r="43" spans="1:32" s="12" customFormat="1" ht="15.95" customHeight="1">
      <c r="A43" s="56"/>
      <c r="B43" s="343"/>
      <c r="C43" s="511"/>
      <c r="D43" s="502"/>
      <c r="E43" s="502"/>
      <c r="F43" s="359"/>
      <c r="G43" s="488"/>
      <c r="H43" s="517"/>
      <c r="I43" s="308" t="s">
        <v>219</v>
      </c>
      <c r="J43" s="301">
        <v>200000</v>
      </c>
      <c r="K43" s="306" t="s">
        <v>261</v>
      </c>
      <c r="L43" s="299" t="s">
        <v>277</v>
      </c>
      <c r="M43" s="390">
        <v>4</v>
      </c>
      <c r="N43" s="390" t="s">
        <v>275</v>
      </c>
      <c r="O43" s="300" t="s">
        <v>279</v>
      </c>
      <c r="P43" s="301">
        <f>SUM(J43*M43)</f>
        <v>800000</v>
      </c>
      <c r="Q43" s="16" t="s">
        <v>261</v>
      </c>
      <c r="AD43" s="50"/>
      <c r="AE43" s="125"/>
      <c r="AF43" s="125"/>
    </row>
    <row r="44" spans="1:32" s="12" customFormat="1" ht="15.95" customHeight="1">
      <c r="A44" s="56"/>
      <c r="B44" s="343"/>
      <c r="C44" s="538" t="s">
        <v>271</v>
      </c>
      <c r="D44" s="499">
        <v>10000</v>
      </c>
      <c r="E44" s="499">
        <f>+P44/1000</f>
        <v>10000</v>
      </c>
      <c r="F44" s="495">
        <v>2726</v>
      </c>
      <c r="G44" s="486">
        <f t="shared" si="1"/>
        <v>0</v>
      </c>
      <c r="H44" s="515">
        <f>+G44/D44*100</f>
        <v>0</v>
      </c>
      <c r="I44" s="17"/>
      <c r="J44" s="60"/>
      <c r="K44" s="9"/>
      <c r="L44" s="339"/>
      <c r="M44" s="415" t="s">
        <v>298</v>
      </c>
      <c r="N44" s="415"/>
      <c r="O44" s="415"/>
      <c r="P44" s="60">
        <f>SUM(P45:P49)</f>
        <v>10000000</v>
      </c>
      <c r="Q44" s="6" t="s">
        <v>261</v>
      </c>
      <c r="AD44" s="50"/>
      <c r="AE44" s="125"/>
      <c r="AF44" s="125"/>
    </row>
    <row r="45" spans="1:32" s="12" customFormat="1" ht="15.95" customHeight="1">
      <c r="A45" s="56"/>
      <c r="B45" s="343"/>
      <c r="C45" s="540"/>
      <c r="D45" s="501"/>
      <c r="E45" s="501"/>
      <c r="F45" s="496"/>
      <c r="G45" s="487">
        <f t="shared" si="1"/>
        <v>0</v>
      </c>
      <c r="H45" s="516" t="e">
        <f>+G45/D45*100</f>
        <v>#DIV/0!</v>
      </c>
      <c r="I45" s="308" t="s">
        <v>391</v>
      </c>
      <c r="J45" s="301">
        <v>250000</v>
      </c>
      <c r="K45" s="306" t="s">
        <v>261</v>
      </c>
      <c r="L45" s="299" t="s">
        <v>277</v>
      </c>
      <c r="M45" s="390">
        <v>2</v>
      </c>
      <c r="N45" s="390" t="s">
        <v>275</v>
      </c>
      <c r="O45" s="300" t="s">
        <v>279</v>
      </c>
      <c r="P45" s="301">
        <f>SUM(J45*M45)</f>
        <v>500000</v>
      </c>
      <c r="Q45" s="16" t="s">
        <v>261</v>
      </c>
      <c r="AD45" s="50"/>
      <c r="AE45" s="125"/>
      <c r="AF45" s="125"/>
    </row>
    <row r="46" spans="1:32" s="12" customFormat="1" ht="15.95" customHeight="1">
      <c r="A46" s="56"/>
      <c r="B46" s="343"/>
      <c r="C46" s="540"/>
      <c r="D46" s="501"/>
      <c r="E46" s="501"/>
      <c r="F46" s="496"/>
      <c r="G46" s="487"/>
      <c r="H46" s="516"/>
      <c r="I46" s="308" t="s">
        <v>48</v>
      </c>
      <c r="J46" s="301">
        <v>1750000</v>
      </c>
      <c r="K46" s="306" t="s">
        <v>261</v>
      </c>
      <c r="L46" s="299" t="s">
        <v>277</v>
      </c>
      <c r="M46" s="390">
        <v>4</v>
      </c>
      <c r="N46" s="390" t="s">
        <v>275</v>
      </c>
      <c r="O46" s="300" t="s">
        <v>279</v>
      </c>
      <c r="P46" s="301">
        <f>SUM(J46*M46)</f>
        <v>7000000</v>
      </c>
      <c r="Q46" s="16" t="s">
        <v>261</v>
      </c>
      <c r="AD46" s="50"/>
      <c r="AE46" s="125"/>
      <c r="AF46" s="125"/>
    </row>
    <row r="47" spans="1:32" s="12" customFormat="1" ht="15.95" customHeight="1">
      <c r="A47" s="56"/>
      <c r="B47" s="343"/>
      <c r="C47" s="540"/>
      <c r="D47" s="501"/>
      <c r="E47" s="501"/>
      <c r="F47" s="496"/>
      <c r="G47" s="487">
        <f t="shared" si="1"/>
        <v>0</v>
      </c>
      <c r="H47" s="516" t="e">
        <f t="shared" ref="H47:H57" si="4">+G47/D47*100</f>
        <v>#DIV/0!</v>
      </c>
      <c r="I47" s="308" t="s">
        <v>388</v>
      </c>
      <c r="J47" s="301">
        <v>500000</v>
      </c>
      <c r="K47" s="306" t="s">
        <v>261</v>
      </c>
      <c r="L47" s="299" t="s">
        <v>277</v>
      </c>
      <c r="M47" s="390">
        <v>4</v>
      </c>
      <c r="N47" s="390" t="s">
        <v>275</v>
      </c>
      <c r="O47" s="300" t="s">
        <v>279</v>
      </c>
      <c r="P47" s="301">
        <f>SUM(J47*M47)</f>
        <v>2000000</v>
      </c>
      <c r="Q47" s="16" t="s">
        <v>261</v>
      </c>
      <c r="AD47" s="50"/>
      <c r="AE47" s="125"/>
      <c r="AF47" s="125"/>
    </row>
    <row r="48" spans="1:32" s="12" customFormat="1" ht="15.95" customHeight="1">
      <c r="A48" s="56"/>
      <c r="B48" s="343"/>
      <c r="C48" s="540"/>
      <c r="D48" s="501"/>
      <c r="E48" s="501"/>
      <c r="F48" s="496"/>
      <c r="G48" s="487"/>
      <c r="H48" s="516"/>
      <c r="I48" s="308" t="s">
        <v>216</v>
      </c>
      <c r="J48" s="301">
        <v>100000</v>
      </c>
      <c r="K48" s="306" t="s">
        <v>261</v>
      </c>
      <c r="L48" s="299" t="s">
        <v>277</v>
      </c>
      <c r="M48" s="390">
        <v>1</v>
      </c>
      <c r="N48" s="390" t="s">
        <v>275</v>
      </c>
      <c r="O48" s="300" t="s">
        <v>279</v>
      </c>
      <c r="P48" s="301">
        <f>SUM(J48*M48)</f>
        <v>100000</v>
      </c>
      <c r="Q48" s="16" t="s">
        <v>261</v>
      </c>
      <c r="AD48" s="50"/>
      <c r="AE48" s="125"/>
      <c r="AF48" s="125"/>
    </row>
    <row r="49" spans="1:32" s="12" customFormat="1" ht="15.95" customHeight="1">
      <c r="A49" s="56"/>
      <c r="B49" s="343"/>
      <c r="C49" s="540"/>
      <c r="D49" s="501"/>
      <c r="E49" s="501"/>
      <c r="F49" s="504"/>
      <c r="G49" s="487">
        <f t="shared" si="1"/>
        <v>0</v>
      </c>
      <c r="H49" s="516" t="e">
        <f t="shared" si="4"/>
        <v>#DIV/0!</v>
      </c>
      <c r="I49" s="308" t="s">
        <v>327</v>
      </c>
      <c r="J49" s="301">
        <v>100000</v>
      </c>
      <c r="K49" s="306" t="s">
        <v>261</v>
      </c>
      <c r="L49" s="299" t="s">
        <v>277</v>
      </c>
      <c r="M49" s="390">
        <v>4</v>
      </c>
      <c r="N49" s="390" t="s">
        <v>275</v>
      </c>
      <c r="O49" s="300" t="s">
        <v>279</v>
      </c>
      <c r="P49" s="301">
        <f>SUM(J49*M49)</f>
        <v>400000</v>
      </c>
      <c r="Q49" s="16" t="s">
        <v>261</v>
      </c>
      <c r="AD49" s="50"/>
      <c r="AE49" s="125"/>
      <c r="AF49" s="125"/>
    </row>
    <row r="50" spans="1:32" s="12" customFormat="1" ht="20.100000000000001" customHeight="1">
      <c r="A50" s="56"/>
      <c r="B50" s="102" t="s">
        <v>311</v>
      </c>
      <c r="C50" s="166" t="s">
        <v>284</v>
      </c>
      <c r="D50" s="167">
        <f>SUM(D51:D63,D64:D75)</f>
        <v>301654</v>
      </c>
      <c r="E50" s="167">
        <f>SUM(E51:E75)</f>
        <v>386907.23988500005</v>
      </c>
      <c r="F50" s="168">
        <f>SUM(F51:F63,F64:F75)</f>
        <v>274672</v>
      </c>
      <c r="G50" s="169">
        <f>E50-D50</f>
        <v>85253.239885000046</v>
      </c>
      <c r="H50" s="170">
        <f t="shared" si="4"/>
        <v>28.261929192054485</v>
      </c>
      <c r="I50" s="17"/>
      <c r="J50" s="60"/>
      <c r="K50" s="9"/>
      <c r="L50" s="9"/>
      <c r="M50" s="9"/>
      <c r="N50" s="9"/>
      <c r="O50" s="9"/>
      <c r="P50" s="5">
        <f>SUM(P51,P53,P60,P64,P69,P73)</f>
        <v>386907239.88499999</v>
      </c>
      <c r="Q50" s="6" t="s">
        <v>261</v>
      </c>
      <c r="AD50" s="50"/>
      <c r="AE50" s="125"/>
      <c r="AF50" s="125"/>
    </row>
    <row r="51" spans="1:32" s="12" customFormat="1" ht="15.95" customHeight="1">
      <c r="A51" s="56"/>
      <c r="B51" s="343"/>
      <c r="C51" s="538" t="s">
        <v>314</v>
      </c>
      <c r="D51" s="499">
        <v>500</v>
      </c>
      <c r="E51" s="499">
        <f>+P51/1000</f>
        <v>200</v>
      </c>
      <c r="F51" s="495">
        <v>107</v>
      </c>
      <c r="G51" s="486">
        <f t="shared" si="1"/>
        <v>-300</v>
      </c>
      <c r="H51" s="515">
        <f t="shared" si="4"/>
        <v>-60</v>
      </c>
      <c r="I51" s="17"/>
      <c r="J51" s="60"/>
      <c r="K51" s="9"/>
      <c r="L51" s="339"/>
      <c r="M51" s="339" t="s">
        <v>298</v>
      </c>
      <c r="N51" s="339"/>
      <c r="O51" s="339"/>
      <c r="P51" s="60">
        <f>SUM(P52)</f>
        <v>200000</v>
      </c>
      <c r="Q51" s="6" t="s">
        <v>261</v>
      </c>
      <c r="AD51" s="50"/>
      <c r="AE51" s="125"/>
      <c r="AF51" s="125"/>
    </row>
    <row r="52" spans="1:32" s="12" customFormat="1" ht="15.95" customHeight="1">
      <c r="A52" s="56"/>
      <c r="B52" s="171"/>
      <c r="C52" s="539"/>
      <c r="D52" s="502"/>
      <c r="E52" s="502"/>
      <c r="F52" s="504"/>
      <c r="G52" s="488">
        <f t="shared" si="1"/>
        <v>0</v>
      </c>
      <c r="H52" s="517" t="e">
        <f t="shared" si="4"/>
        <v>#DIV/0!</v>
      </c>
      <c r="I52" s="18" t="s">
        <v>190</v>
      </c>
      <c r="J52" s="65">
        <v>50000</v>
      </c>
      <c r="K52" s="20" t="s">
        <v>261</v>
      </c>
      <c r="L52" s="21" t="s">
        <v>277</v>
      </c>
      <c r="M52" s="389">
        <v>4</v>
      </c>
      <c r="N52" s="389" t="s">
        <v>275</v>
      </c>
      <c r="O52" s="22" t="s">
        <v>279</v>
      </c>
      <c r="P52" s="65">
        <f>SUM(J52*M52)</f>
        <v>200000</v>
      </c>
      <c r="Q52" s="23" t="s">
        <v>261</v>
      </c>
      <c r="AD52" s="50"/>
      <c r="AE52" s="125"/>
      <c r="AF52" s="125"/>
    </row>
    <row r="53" spans="1:32" s="12" customFormat="1" ht="15.95" customHeight="1">
      <c r="A53" s="56"/>
      <c r="B53" s="343"/>
      <c r="C53" s="565" t="s">
        <v>234</v>
      </c>
      <c r="D53" s="499">
        <v>200658</v>
      </c>
      <c r="E53" s="499">
        <f>+P53/1000</f>
        <v>211217.99992000003</v>
      </c>
      <c r="F53" s="495">
        <v>27504</v>
      </c>
      <c r="G53" s="486">
        <f t="shared" si="1"/>
        <v>10559.999920000031</v>
      </c>
      <c r="H53" s="515">
        <f t="shared" si="4"/>
        <v>5.2626857239681604</v>
      </c>
      <c r="I53" s="17"/>
      <c r="J53" s="60"/>
      <c r="K53" s="9"/>
      <c r="L53" s="9"/>
      <c r="M53" s="415" t="s">
        <v>298</v>
      </c>
      <c r="N53" s="415"/>
      <c r="O53" s="415"/>
      <c r="P53" s="5">
        <f>SUM(P54:P59)</f>
        <v>211217999.92000002</v>
      </c>
      <c r="Q53" s="6" t="s">
        <v>261</v>
      </c>
      <c r="AD53" s="50"/>
      <c r="AE53" s="125"/>
      <c r="AF53" s="125"/>
    </row>
    <row r="54" spans="1:32" s="12" customFormat="1" ht="15.95" customHeight="1">
      <c r="A54" s="56"/>
      <c r="B54" s="343"/>
      <c r="C54" s="573"/>
      <c r="D54" s="501"/>
      <c r="E54" s="501"/>
      <c r="F54" s="496"/>
      <c r="G54" s="487"/>
      <c r="H54" s="516"/>
      <c r="I54" s="308" t="s">
        <v>325</v>
      </c>
      <c r="J54" s="301">
        <v>13995666.66</v>
      </c>
      <c r="K54" s="306" t="s">
        <v>276</v>
      </c>
      <c r="L54" s="390" t="s">
        <v>277</v>
      </c>
      <c r="M54" s="390">
        <v>12</v>
      </c>
      <c r="N54" s="390" t="s">
        <v>276</v>
      </c>
      <c r="O54" s="390" t="s">
        <v>285</v>
      </c>
      <c r="P54" s="311">
        <f>J54*M54</f>
        <v>167947999.92000002</v>
      </c>
      <c r="Q54" s="16" t="s">
        <v>261</v>
      </c>
      <c r="AD54" s="50"/>
      <c r="AE54" s="125"/>
      <c r="AF54" s="125"/>
    </row>
    <row r="55" spans="1:32" s="12" customFormat="1" ht="15.95" customHeight="1">
      <c r="A55" s="56"/>
      <c r="B55" s="343"/>
      <c r="C55" s="540"/>
      <c r="D55" s="501"/>
      <c r="E55" s="501"/>
      <c r="F55" s="496"/>
      <c r="G55" s="487">
        <f t="shared" si="1"/>
        <v>0</v>
      </c>
      <c r="H55" s="516" t="e">
        <f t="shared" si="4"/>
        <v>#DIV/0!</v>
      </c>
      <c r="I55" s="308" t="s">
        <v>375</v>
      </c>
      <c r="J55" s="301">
        <v>2035000</v>
      </c>
      <c r="K55" s="306" t="s">
        <v>261</v>
      </c>
      <c r="L55" s="299" t="s">
        <v>277</v>
      </c>
      <c r="M55" s="390">
        <v>2</v>
      </c>
      <c r="N55" s="390" t="s">
        <v>275</v>
      </c>
      <c r="O55" s="300" t="s">
        <v>279</v>
      </c>
      <c r="P55" s="301">
        <f>SUM(J55*M55)</f>
        <v>4070000</v>
      </c>
      <c r="Q55" s="16" t="s">
        <v>261</v>
      </c>
      <c r="AD55" s="50"/>
      <c r="AE55" s="125"/>
      <c r="AF55" s="125"/>
    </row>
    <row r="56" spans="1:32" s="12" customFormat="1" ht="15.95" customHeight="1">
      <c r="A56" s="56"/>
      <c r="B56" s="343"/>
      <c r="C56" s="540"/>
      <c r="D56" s="501"/>
      <c r="E56" s="501"/>
      <c r="F56" s="496"/>
      <c r="G56" s="487"/>
      <c r="H56" s="516"/>
      <c r="I56" s="308" t="s">
        <v>345</v>
      </c>
      <c r="J56" s="301">
        <v>2875000</v>
      </c>
      <c r="K56" s="306" t="s">
        <v>261</v>
      </c>
      <c r="L56" s="299" t="s">
        <v>277</v>
      </c>
      <c r="M56" s="390">
        <v>8</v>
      </c>
      <c r="N56" s="390" t="s">
        <v>275</v>
      </c>
      <c r="O56" s="300" t="s">
        <v>279</v>
      </c>
      <c r="P56" s="301">
        <f>SUM(J56*M56)</f>
        <v>23000000</v>
      </c>
      <c r="Q56" s="16" t="s">
        <v>261</v>
      </c>
      <c r="AD56" s="50"/>
      <c r="AE56" s="125"/>
      <c r="AF56" s="125"/>
    </row>
    <row r="57" spans="1:32" s="12" customFormat="1" ht="15.95" customHeight="1">
      <c r="A57" s="56"/>
      <c r="B57" s="343"/>
      <c r="C57" s="540"/>
      <c r="D57" s="501"/>
      <c r="E57" s="501"/>
      <c r="F57" s="496"/>
      <c r="G57" s="487">
        <f t="shared" si="1"/>
        <v>0</v>
      </c>
      <c r="H57" s="516" t="e">
        <f t="shared" si="4"/>
        <v>#DIV/0!</v>
      </c>
      <c r="I57" s="308" t="s">
        <v>64</v>
      </c>
      <c r="J57" s="301">
        <v>900000</v>
      </c>
      <c r="K57" s="306" t="s">
        <v>261</v>
      </c>
      <c r="L57" s="299" t="s">
        <v>277</v>
      </c>
      <c r="M57" s="390">
        <v>12</v>
      </c>
      <c r="N57" s="390" t="s">
        <v>276</v>
      </c>
      <c r="O57" s="300" t="s">
        <v>279</v>
      </c>
      <c r="P57" s="301">
        <f>SUM(J57*M57)</f>
        <v>10800000</v>
      </c>
      <c r="Q57" s="16" t="s">
        <v>261</v>
      </c>
      <c r="AD57" s="50"/>
      <c r="AE57" s="125"/>
      <c r="AF57" s="125"/>
    </row>
    <row r="58" spans="1:32" s="12" customFormat="1" ht="15.95" customHeight="1">
      <c r="A58" s="56"/>
      <c r="B58" s="343"/>
      <c r="C58" s="540"/>
      <c r="D58" s="501"/>
      <c r="E58" s="501"/>
      <c r="F58" s="496"/>
      <c r="G58" s="487"/>
      <c r="H58" s="516"/>
      <c r="I58" s="308" t="s">
        <v>115</v>
      </c>
      <c r="J58" s="301">
        <v>200000</v>
      </c>
      <c r="K58" s="306" t="s">
        <v>261</v>
      </c>
      <c r="L58" s="299" t="s">
        <v>277</v>
      </c>
      <c r="M58" s="390">
        <v>12</v>
      </c>
      <c r="N58" s="390" t="s">
        <v>276</v>
      </c>
      <c r="O58" s="300" t="s">
        <v>279</v>
      </c>
      <c r="P58" s="301">
        <f>SUM(J58*M58)</f>
        <v>2400000</v>
      </c>
      <c r="Q58" s="16" t="s">
        <v>261</v>
      </c>
      <c r="AD58" s="50"/>
      <c r="AE58" s="125"/>
      <c r="AF58" s="125"/>
    </row>
    <row r="59" spans="1:32" s="12" customFormat="1" ht="15.95" customHeight="1">
      <c r="A59" s="56"/>
      <c r="B59" s="343"/>
      <c r="C59" s="539"/>
      <c r="D59" s="502"/>
      <c r="E59" s="502"/>
      <c r="F59" s="504"/>
      <c r="G59" s="488">
        <f t="shared" si="1"/>
        <v>0</v>
      </c>
      <c r="H59" s="517" t="e">
        <f t="shared" ref="H59:H69" si="5">+G59/D59*100</f>
        <v>#DIV/0!</v>
      </c>
      <c r="I59" s="18" t="s">
        <v>83</v>
      </c>
      <c r="J59" s="65">
        <v>250000</v>
      </c>
      <c r="K59" s="20" t="s">
        <v>261</v>
      </c>
      <c r="L59" s="21" t="s">
        <v>277</v>
      </c>
      <c r="M59" s="389">
        <v>12</v>
      </c>
      <c r="N59" s="389" t="s">
        <v>276</v>
      </c>
      <c r="O59" s="22" t="s">
        <v>279</v>
      </c>
      <c r="P59" s="65">
        <f>SUM(J59*M59)</f>
        <v>3000000</v>
      </c>
      <c r="Q59" s="23" t="s">
        <v>261</v>
      </c>
      <c r="AD59" s="50"/>
      <c r="AE59" s="125"/>
      <c r="AF59" s="125"/>
    </row>
    <row r="60" spans="1:32" s="12" customFormat="1" ht="15.95" customHeight="1">
      <c r="A60" s="56"/>
      <c r="B60" s="343"/>
      <c r="C60" s="540" t="s">
        <v>96</v>
      </c>
      <c r="D60" s="501">
        <v>8220</v>
      </c>
      <c r="E60" s="501">
        <f>P60/1000</f>
        <v>8220</v>
      </c>
      <c r="F60" s="496">
        <v>9102</v>
      </c>
      <c r="G60" s="487">
        <f>+E60-D60</f>
        <v>0</v>
      </c>
      <c r="H60" s="516">
        <f t="shared" si="5"/>
        <v>0</v>
      </c>
      <c r="I60" s="308"/>
      <c r="J60" s="301"/>
      <c r="K60" s="306"/>
      <c r="L60" s="306"/>
      <c r="M60" s="559" t="s">
        <v>298</v>
      </c>
      <c r="N60" s="559"/>
      <c r="O60" s="559"/>
      <c r="P60" s="311">
        <f>SUM(P61:P63)</f>
        <v>8220000</v>
      </c>
      <c r="Q60" s="16" t="s">
        <v>261</v>
      </c>
      <c r="AD60" s="50"/>
      <c r="AE60" s="125"/>
      <c r="AF60" s="125"/>
    </row>
    <row r="61" spans="1:32" s="12" customFormat="1" ht="15.95" customHeight="1">
      <c r="A61" s="56"/>
      <c r="B61" s="343"/>
      <c r="C61" s="540"/>
      <c r="D61" s="501"/>
      <c r="E61" s="501"/>
      <c r="F61" s="496"/>
      <c r="G61" s="487">
        <f>+E61-D61</f>
        <v>0</v>
      </c>
      <c r="H61" s="516" t="e">
        <f t="shared" si="5"/>
        <v>#DIV/0!</v>
      </c>
      <c r="I61" s="308" t="s">
        <v>353</v>
      </c>
      <c r="J61" s="301">
        <v>400000</v>
      </c>
      <c r="K61" s="306" t="s">
        <v>261</v>
      </c>
      <c r="L61" s="299" t="s">
        <v>277</v>
      </c>
      <c r="M61" s="390">
        <v>12</v>
      </c>
      <c r="N61" s="390" t="s">
        <v>276</v>
      </c>
      <c r="O61" s="300" t="s">
        <v>279</v>
      </c>
      <c r="P61" s="301">
        <f>SUM(J61*M61)</f>
        <v>4800000</v>
      </c>
      <c r="Q61" s="16" t="s">
        <v>261</v>
      </c>
      <c r="AD61" s="50"/>
      <c r="AE61" s="125"/>
      <c r="AF61" s="125"/>
    </row>
    <row r="62" spans="1:32" s="12" customFormat="1" ht="15.95" customHeight="1">
      <c r="A62" s="56"/>
      <c r="B62" s="343"/>
      <c r="C62" s="540"/>
      <c r="D62" s="501"/>
      <c r="E62" s="501"/>
      <c r="F62" s="496"/>
      <c r="G62" s="487">
        <f>+E62-D62</f>
        <v>0</v>
      </c>
      <c r="H62" s="516" t="e">
        <f t="shared" si="5"/>
        <v>#DIV/0!</v>
      </c>
      <c r="I62" s="308" t="s">
        <v>67</v>
      </c>
      <c r="J62" s="301">
        <v>235000</v>
      </c>
      <c r="K62" s="306" t="s">
        <v>261</v>
      </c>
      <c r="L62" s="299" t="s">
        <v>277</v>
      </c>
      <c r="M62" s="390">
        <v>12</v>
      </c>
      <c r="N62" s="390" t="s">
        <v>276</v>
      </c>
      <c r="O62" s="300" t="s">
        <v>279</v>
      </c>
      <c r="P62" s="301">
        <f>SUM(J62*M62)</f>
        <v>2820000</v>
      </c>
      <c r="Q62" s="16" t="s">
        <v>261</v>
      </c>
      <c r="AD62" s="50"/>
      <c r="AE62" s="125"/>
      <c r="AF62" s="125"/>
    </row>
    <row r="63" spans="1:32" s="12" customFormat="1" ht="15.95" customHeight="1">
      <c r="A63" s="56"/>
      <c r="B63" s="343"/>
      <c r="C63" s="540"/>
      <c r="D63" s="501"/>
      <c r="E63" s="501"/>
      <c r="F63" s="496"/>
      <c r="G63" s="487">
        <f>+E63-D63</f>
        <v>0</v>
      </c>
      <c r="H63" s="516" t="e">
        <f t="shared" si="5"/>
        <v>#DIV/0!</v>
      </c>
      <c r="I63" s="308" t="s">
        <v>130</v>
      </c>
      <c r="J63" s="301">
        <v>50000</v>
      </c>
      <c r="K63" s="306" t="s">
        <v>261</v>
      </c>
      <c r="L63" s="299" t="s">
        <v>277</v>
      </c>
      <c r="M63" s="390">
        <v>12</v>
      </c>
      <c r="N63" s="390" t="s">
        <v>275</v>
      </c>
      <c r="O63" s="300" t="s">
        <v>279</v>
      </c>
      <c r="P63" s="301">
        <f>SUM(J63*M63)</f>
        <v>600000</v>
      </c>
      <c r="Q63" s="16" t="s">
        <v>261</v>
      </c>
      <c r="AD63" s="50"/>
      <c r="AE63" s="125"/>
      <c r="AF63" s="125"/>
    </row>
    <row r="64" spans="1:32" s="12" customFormat="1" ht="15.95" customHeight="1">
      <c r="A64" s="56" t="s">
        <v>292</v>
      </c>
      <c r="B64" s="343" t="s">
        <v>292</v>
      </c>
      <c r="C64" s="509" t="s">
        <v>49</v>
      </c>
      <c r="D64" s="499">
        <v>56956</v>
      </c>
      <c r="E64" s="499">
        <f>+P64/1000</f>
        <v>90999.24</v>
      </c>
      <c r="F64" s="495">
        <v>194780</v>
      </c>
      <c r="G64" s="486">
        <f>+E64-D64</f>
        <v>34043.240000000005</v>
      </c>
      <c r="H64" s="515">
        <f t="shared" si="5"/>
        <v>59.771121567525817</v>
      </c>
      <c r="I64" s="17"/>
      <c r="J64" s="60"/>
      <c r="K64" s="9"/>
      <c r="L64" s="9"/>
      <c r="M64" s="415" t="s">
        <v>298</v>
      </c>
      <c r="N64" s="415"/>
      <c r="O64" s="415"/>
      <c r="P64" s="5">
        <f>SUM(P65:P68)</f>
        <v>90999240</v>
      </c>
      <c r="Q64" s="6" t="s">
        <v>261</v>
      </c>
      <c r="AD64" s="50"/>
      <c r="AE64" s="125"/>
      <c r="AF64" s="125"/>
    </row>
    <row r="65" spans="1:32" s="12" customFormat="1" ht="15.95" customHeight="1">
      <c r="A65" s="56"/>
      <c r="B65" s="343"/>
      <c r="C65" s="510"/>
      <c r="D65" s="501"/>
      <c r="E65" s="501"/>
      <c r="F65" s="496"/>
      <c r="G65" s="487"/>
      <c r="H65" s="516"/>
      <c r="I65" s="308" t="s">
        <v>435</v>
      </c>
      <c r="J65" s="301">
        <v>8750000</v>
      </c>
      <c r="K65" s="306" t="s">
        <v>261</v>
      </c>
      <c r="L65" s="299" t="s">
        <v>277</v>
      </c>
      <c r="M65" s="390">
        <v>4</v>
      </c>
      <c r="N65" s="390" t="s">
        <v>275</v>
      </c>
      <c r="O65" s="300" t="s">
        <v>279</v>
      </c>
      <c r="P65" s="301">
        <f>SUM(J65*M65)</f>
        <v>35000000</v>
      </c>
      <c r="Q65" s="16" t="s">
        <v>261</v>
      </c>
      <c r="AD65" s="50"/>
      <c r="AE65" s="125"/>
      <c r="AF65" s="125"/>
    </row>
    <row r="66" spans="1:32" s="12" customFormat="1" ht="15.95" customHeight="1">
      <c r="A66" s="56"/>
      <c r="B66" s="343"/>
      <c r="C66" s="510"/>
      <c r="D66" s="501"/>
      <c r="E66" s="501"/>
      <c r="F66" s="496"/>
      <c r="G66" s="487"/>
      <c r="H66" s="516"/>
      <c r="I66" s="308" t="s">
        <v>436</v>
      </c>
      <c r="J66" s="301">
        <v>50000000</v>
      </c>
      <c r="K66" s="306" t="s">
        <v>261</v>
      </c>
      <c r="L66" s="299" t="s">
        <v>277</v>
      </c>
      <c r="M66" s="390">
        <v>1</v>
      </c>
      <c r="N66" s="390" t="s">
        <v>275</v>
      </c>
      <c r="O66" s="300" t="s">
        <v>279</v>
      </c>
      <c r="P66" s="301">
        <f>SUM(J66*M66)</f>
        <v>50000000</v>
      </c>
      <c r="Q66" s="16" t="s">
        <v>261</v>
      </c>
      <c r="AD66" s="50"/>
      <c r="AE66" s="125"/>
      <c r="AF66" s="125"/>
    </row>
    <row r="67" spans="1:32" s="12" customFormat="1" ht="15.95" customHeight="1">
      <c r="A67" s="56"/>
      <c r="B67" s="343"/>
      <c r="C67" s="510"/>
      <c r="D67" s="501"/>
      <c r="E67" s="501"/>
      <c r="F67" s="496"/>
      <c r="G67" s="487"/>
      <c r="H67" s="516"/>
      <c r="I67" s="312" t="s">
        <v>310</v>
      </c>
      <c r="J67" s="301">
        <v>3999240</v>
      </c>
      <c r="K67" s="306" t="s">
        <v>261</v>
      </c>
      <c r="L67" s="299" t="s">
        <v>277</v>
      </c>
      <c r="M67" s="390">
        <v>1</v>
      </c>
      <c r="N67" s="390" t="s">
        <v>275</v>
      </c>
      <c r="O67" s="390" t="s">
        <v>279</v>
      </c>
      <c r="P67" s="301">
        <f>SUM(J67*M67)</f>
        <v>3999240</v>
      </c>
      <c r="Q67" s="16" t="s">
        <v>261</v>
      </c>
      <c r="AD67" s="50"/>
      <c r="AE67" s="125"/>
      <c r="AF67" s="125"/>
    </row>
    <row r="68" spans="1:32" s="12" customFormat="1" ht="15.95" customHeight="1">
      <c r="A68" s="56"/>
      <c r="B68" s="343"/>
      <c r="C68" s="511"/>
      <c r="D68" s="502"/>
      <c r="E68" s="502"/>
      <c r="F68" s="504"/>
      <c r="G68" s="488"/>
      <c r="H68" s="517"/>
      <c r="I68" s="18" t="s">
        <v>330</v>
      </c>
      <c r="J68" s="65">
        <v>1000000</v>
      </c>
      <c r="K68" s="20" t="s">
        <v>261</v>
      </c>
      <c r="L68" s="21" t="s">
        <v>277</v>
      </c>
      <c r="M68" s="389">
        <v>2</v>
      </c>
      <c r="N68" s="389" t="s">
        <v>264</v>
      </c>
      <c r="O68" s="22" t="s">
        <v>279</v>
      </c>
      <c r="P68" s="65">
        <f>SUM(J68*M68)</f>
        <v>2000000</v>
      </c>
      <c r="Q68" s="23" t="s">
        <v>261</v>
      </c>
      <c r="AD68" s="50"/>
      <c r="AE68" s="125"/>
      <c r="AF68" s="125"/>
    </row>
    <row r="69" spans="1:32" s="12" customFormat="1" ht="15.95" customHeight="1">
      <c r="A69" s="40" t="s">
        <v>281</v>
      </c>
      <c r="B69" s="352" t="s">
        <v>311</v>
      </c>
      <c r="C69" s="509" t="s">
        <v>152</v>
      </c>
      <c r="D69" s="499">
        <v>32920</v>
      </c>
      <c r="E69" s="499">
        <f>+P69/1000</f>
        <v>73869.99996500001</v>
      </c>
      <c r="F69" s="357">
        <v>36590</v>
      </c>
      <c r="G69" s="486">
        <f>E69-D69</f>
        <v>40949.99996500001</v>
      </c>
      <c r="H69" s="489">
        <f t="shared" si="5"/>
        <v>124.3924664793439</v>
      </c>
      <c r="I69" s="172"/>
      <c r="J69" s="173"/>
      <c r="K69" s="9"/>
      <c r="L69" s="339"/>
      <c r="M69" s="415" t="s">
        <v>298</v>
      </c>
      <c r="N69" s="415"/>
      <c r="O69" s="415"/>
      <c r="P69" s="60">
        <f>SUM(P70:P72)</f>
        <v>73869999.965000004</v>
      </c>
      <c r="Q69" s="6" t="s">
        <v>261</v>
      </c>
      <c r="AD69" s="50"/>
      <c r="AE69" s="125"/>
      <c r="AF69" s="125"/>
    </row>
    <row r="70" spans="1:32" s="12" customFormat="1" ht="15.95" customHeight="1">
      <c r="A70" s="174"/>
      <c r="B70" s="175"/>
      <c r="C70" s="510"/>
      <c r="D70" s="501"/>
      <c r="E70" s="501"/>
      <c r="F70" s="359"/>
      <c r="G70" s="487"/>
      <c r="H70" s="490"/>
      <c r="I70" s="308" t="s">
        <v>342</v>
      </c>
      <c r="J70" s="301">
        <v>170000</v>
      </c>
      <c r="K70" s="306" t="s">
        <v>261</v>
      </c>
      <c r="L70" s="299" t="s">
        <v>277</v>
      </c>
      <c r="M70" s="390">
        <v>15</v>
      </c>
      <c r="N70" s="390" t="s">
        <v>296</v>
      </c>
      <c r="O70" s="300" t="s">
        <v>279</v>
      </c>
      <c r="P70" s="301">
        <f t="shared" ref="P70:P72" si="6">SUM(J70*M70)</f>
        <v>2550000</v>
      </c>
      <c r="Q70" s="16" t="s">
        <v>261</v>
      </c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176"/>
      <c r="AE70" s="176"/>
      <c r="AF70" s="176"/>
    </row>
    <row r="71" spans="1:32" s="12" customFormat="1" ht="15.95" customHeight="1">
      <c r="A71" s="56"/>
      <c r="B71" s="343"/>
      <c r="C71" s="510"/>
      <c r="D71" s="501"/>
      <c r="E71" s="501"/>
      <c r="F71" s="359"/>
      <c r="G71" s="487"/>
      <c r="H71" s="490"/>
      <c r="I71" s="308" t="s">
        <v>108</v>
      </c>
      <c r="J71" s="301">
        <v>1905945.9450000001</v>
      </c>
      <c r="K71" s="306" t="s">
        <v>261</v>
      </c>
      <c r="L71" s="299" t="s">
        <v>277</v>
      </c>
      <c r="M71" s="390">
        <v>37</v>
      </c>
      <c r="N71" s="390" t="s">
        <v>275</v>
      </c>
      <c r="O71" s="300" t="s">
        <v>279</v>
      </c>
      <c r="P71" s="301">
        <f t="shared" si="6"/>
        <v>70519999.965000004</v>
      </c>
      <c r="Q71" s="16" t="s">
        <v>261</v>
      </c>
      <c r="AD71" s="50"/>
      <c r="AE71" s="125"/>
      <c r="AF71" s="125"/>
    </row>
    <row r="72" spans="1:32" s="12" customFormat="1" ht="15.95" customHeight="1">
      <c r="A72" s="56"/>
      <c r="B72" s="343"/>
      <c r="C72" s="511"/>
      <c r="D72" s="502"/>
      <c r="E72" s="502"/>
      <c r="F72" s="359"/>
      <c r="G72" s="488"/>
      <c r="H72" s="491"/>
      <c r="I72" s="308" t="s">
        <v>396</v>
      </c>
      <c r="J72" s="301">
        <v>400000</v>
      </c>
      <c r="K72" s="306" t="s">
        <v>261</v>
      </c>
      <c r="L72" s="299" t="s">
        <v>277</v>
      </c>
      <c r="M72" s="390">
        <v>2</v>
      </c>
      <c r="N72" s="390" t="s">
        <v>275</v>
      </c>
      <c r="O72" s="300" t="s">
        <v>279</v>
      </c>
      <c r="P72" s="301">
        <f t="shared" si="6"/>
        <v>800000</v>
      </c>
      <c r="Q72" s="16" t="s">
        <v>261</v>
      </c>
      <c r="AD72" s="50"/>
      <c r="AE72" s="125"/>
      <c r="AF72" s="125"/>
    </row>
    <row r="73" spans="1:32" s="12" customFormat="1" ht="15.95" customHeight="1">
      <c r="A73" s="56"/>
      <c r="B73" s="343"/>
      <c r="C73" s="538" t="s">
        <v>266</v>
      </c>
      <c r="D73" s="499">
        <v>2400</v>
      </c>
      <c r="E73" s="499">
        <f>+P73/1000</f>
        <v>2400</v>
      </c>
      <c r="F73" s="495">
        <v>6589</v>
      </c>
      <c r="G73" s="486">
        <f>+E73-D73</f>
        <v>0</v>
      </c>
      <c r="H73" s="515">
        <f>+G73/D73*100</f>
        <v>0</v>
      </c>
      <c r="I73" s="17"/>
      <c r="J73" s="60"/>
      <c r="K73" s="9"/>
      <c r="L73" s="339"/>
      <c r="M73" s="415" t="s">
        <v>298</v>
      </c>
      <c r="N73" s="415"/>
      <c r="O73" s="415"/>
      <c r="P73" s="60">
        <f>SUM(P74:P75)</f>
        <v>2400000</v>
      </c>
      <c r="Q73" s="6" t="s">
        <v>261</v>
      </c>
      <c r="AD73" s="50"/>
      <c r="AE73" s="125"/>
      <c r="AF73" s="125"/>
    </row>
    <row r="74" spans="1:32" s="12" customFormat="1" ht="15.95" customHeight="1">
      <c r="A74" s="56"/>
      <c r="B74" s="343"/>
      <c r="C74" s="540"/>
      <c r="D74" s="501"/>
      <c r="E74" s="501"/>
      <c r="F74" s="496"/>
      <c r="G74" s="487">
        <f>+E74-D74</f>
        <v>0</v>
      </c>
      <c r="H74" s="516" t="e">
        <f>+G74/D74*100</f>
        <v>#DIV/0!</v>
      </c>
      <c r="I74" s="308" t="s">
        <v>146</v>
      </c>
      <c r="J74" s="301">
        <v>50000</v>
      </c>
      <c r="K74" s="306" t="s">
        <v>261</v>
      </c>
      <c r="L74" s="390" t="s">
        <v>277</v>
      </c>
      <c r="M74" s="390">
        <v>12</v>
      </c>
      <c r="N74" s="390" t="s">
        <v>276</v>
      </c>
      <c r="O74" s="300" t="s">
        <v>279</v>
      </c>
      <c r="P74" s="301">
        <f>SUM(J74*M74)</f>
        <v>600000</v>
      </c>
      <c r="Q74" s="16" t="s">
        <v>261</v>
      </c>
      <c r="AD74" s="50"/>
      <c r="AE74" s="125"/>
      <c r="AF74" s="125"/>
    </row>
    <row r="75" spans="1:32" s="12" customFormat="1" ht="15.95" customHeight="1">
      <c r="A75" s="101"/>
      <c r="B75" s="344"/>
      <c r="C75" s="539"/>
      <c r="D75" s="502"/>
      <c r="E75" s="502"/>
      <c r="F75" s="504"/>
      <c r="G75" s="488">
        <f>+E75-D75</f>
        <v>0</v>
      </c>
      <c r="H75" s="517" t="e">
        <f>+G75/D75*100</f>
        <v>#DIV/0!</v>
      </c>
      <c r="I75" s="18" t="s">
        <v>40</v>
      </c>
      <c r="J75" s="65">
        <v>150000</v>
      </c>
      <c r="K75" s="20" t="s">
        <v>261</v>
      </c>
      <c r="L75" s="21" t="s">
        <v>277</v>
      </c>
      <c r="M75" s="389">
        <v>12</v>
      </c>
      <c r="N75" s="390" t="s">
        <v>276</v>
      </c>
      <c r="O75" s="22" t="s">
        <v>279</v>
      </c>
      <c r="P75" s="65">
        <f>SUM(J75*M75)</f>
        <v>1800000</v>
      </c>
      <c r="Q75" s="23" t="s">
        <v>261</v>
      </c>
      <c r="AD75" s="50"/>
      <c r="AE75" s="125"/>
      <c r="AF75" s="125"/>
    </row>
    <row r="76" spans="1:32" s="12" customFormat="1" ht="20.100000000000001" customHeight="1">
      <c r="A76" s="40" t="s">
        <v>260</v>
      </c>
      <c r="B76" s="462" t="s">
        <v>273</v>
      </c>
      <c r="C76" s="463"/>
      <c r="D76" s="177">
        <f>SUM(D77:D81)</f>
        <v>9000</v>
      </c>
      <c r="E76" s="177">
        <f>SUM(E77:E81)</f>
        <v>626365</v>
      </c>
      <c r="F76" s="178">
        <f>SUM(F77:F81)</f>
        <v>215364</v>
      </c>
      <c r="G76" s="179">
        <f>+E76-D76</f>
        <v>617365</v>
      </c>
      <c r="H76" s="180">
        <f>+G76/D76*100</f>
        <v>6859.6111111111113</v>
      </c>
      <c r="I76" s="308"/>
      <c r="J76" s="301"/>
      <c r="K76" s="306"/>
      <c r="L76" s="390"/>
      <c r="M76" s="390"/>
      <c r="N76" s="347"/>
      <c r="O76" s="390"/>
      <c r="P76" s="313">
        <f>SUM(P77,P79,P81)</f>
        <v>626365000</v>
      </c>
      <c r="Q76" s="49" t="s">
        <v>261</v>
      </c>
      <c r="AD76" s="50"/>
      <c r="AE76" s="125"/>
      <c r="AF76" s="125"/>
    </row>
    <row r="77" spans="1:32" s="12" customFormat="1" ht="16.5" customHeight="1">
      <c r="A77" s="40" t="s">
        <v>263</v>
      </c>
      <c r="B77" s="102" t="s">
        <v>258</v>
      </c>
      <c r="C77" s="538" t="s">
        <v>258</v>
      </c>
      <c r="D77" s="499">
        <v>3000</v>
      </c>
      <c r="E77" s="499">
        <f>+P77/1000</f>
        <v>624365</v>
      </c>
      <c r="F77" s="495">
        <v>290</v>
      </c>
      <c r="G77" s="486">
        <f>+E77-D77</f>
        <v>621365</v>
      </c>
      <c r="H77" s="515">
        <f>G77/D77*100</f>
        <v>20712.166666666668</v>
      </c>
      <c r="I77" s="7"/>
      <c r="J77" s="60"/>
      <c r="K77" s="9"/>
      <c r="L77" s="10"/>
      <c r="M77" s="339" t="s">
        <v>298</v>
      </c>
      <c r="N77" s="339"/>
      <c r="O77" s="339"/>
      <c r="P77" s="60">
        <f>SUM(P78:P78)</f>
        <v>624365000</v>
      </c>
      <c r="Q77" s="6" t="s">
        <v>261</v>
      </c>
      <c r="AD77" s="50"/>
      <c r="AE77" s="125"/>
      <c r="AF77" s="125"/>
    </row>
    <row r="78" spans="1:32" s="12" customFormat="1" ht="16.5" customHeight="1">
      <c r="A78" s="56"/>
      <c r="B78" s="343"/>
      <c r="C78" s="539"/>
      <c r="D78" s="502"/>
      <c r="E78" s="502"/>
      <c r="F78" s="504"/>
      <c r="G78" s="488"/>
      <c r="H78" s="517"/>
      <c r="I78" s="181" t="s">
        <v>39</v>
      </c>
      <c r="J78" s="65">
        <v>124873000</v>
      </c>
      <c r="K78" s="20" t="s">
        <v>261</v>
      </c>
      <c r="L78" s="21" t="s">
        <v>277</v>
      </c>
      <c r="M78" s="389">
        <v>5</v>
      </c>
      <c r="N78" s="389" t="s">
        <v>275</v>
      </c>
      <c r="O78" s="22" t="s">
        <v>279</v>
      </c>
      <c r="P78" s="65">
        <f>SUM(J78*M78)</f>
        <v>624365000</v>
      </c>
      <c r="Q78" s="23" t="s">
        <v>261</v>
      </c>
      <c r="AD78" s="50"/>
      <c r="AE78" s="125"/>
      <c r="AF78" s="125"/>
    </row>
    <row r="79" spans="1:32" s="12" customFormat="1" ht="16.5" customHeight="1">
      <c r="A79" s="56"/>
      <c r="B79" s="343"/>
      <c r="C79" s="509" t="s">
        <v>88</v>
      </c>
      <c r="D79" s="499">
        <v>5000</v>
      </c>
      <c r="E79" s="499">
        <f>+P79/1000</f>
        <v>2000</v>
      </c>
      <c r="F79" s="495">
        <v>80074</v>
      </c>
      <c r="G79" s="486">
        <f>+E79-D79</f>
        <v>-3000</v>
      </c>
      <c r="H79" s="515">
        <f>+G79/D79*100</f>
        <v>-60</v>
      </c>
      <c r="I79" s="314"/>
      <c r="J79" s="301"/>
      <c r="K79" s="306"/>
      <c r="L79" s="299"/>
      <c r="M79" s="390" t="s">
        <v>298</v>
      </c>
      <c r="N79" s="390"/>
      <c r="O79" s="390"/>
      <c r="P79" s="301">
        <f>SUM(P80:P80)</f>
        <v>2000000</v>
      </c>
      <c r="Q79" s="16" t="s">
        <v>261</v>
      </c>
      <c r="AD79" s="50"/>
      <c r="AE79" s="125"/>
      <c r="AF79" s="125"/>
    </row>
    <row r="80" spans="1:32" s="12" customFormat="1" ht="16.5" customHeight="1">
      <c r="A80" s="56"/>
      <c r="B80" s="343"/>
      <c r="C80" s="510"/>
      <c r="D80" s="501"/>
      <c r="E80" s="501"/>
      <c r="F80" s="496"/>
      <c r="G80" s="487"/>
      <c r="H80" s="516"/>
      <c r="I80" s="161" t="s">
        <v>392</v>
      </c>
      <c r="J80" s="301">
        <v>1000000</v>
      </c>
      <c r="K80" s="306" t="s">
        <v>261</v>
      </c>
      <c r="L80" s="21" t="s">
        <v>277</v>
      </c>
      <c r="M80" s="390">
        <v>2</v>
      </c>
      <c r="N80" s="390" t="s">
        <v>275</v>
      </c>
      <c r="O80" s="300" t="s">
        <v>279</v>
      </c>
      <c r="P80" s="301">
        <f>SUM(J80*M80)</f>
        <v>2000000</v>
      </c>
      <c r="Q80" s="16" t="s">
        <v>261</v>
      </c>
      <c r="AD80" s="50"/>
      <c r="AE80" s="125"/>
      <c r="AF80" s="125"/>
    </row>
    <row r="81" spans="1:32" s="12" customFormat="1" ht="16.5" customHeight="1">
      <c r="A81" s="56"/>
      <c r="B81" s="343"/>
      <c r="C81" s="537" t="s">
        <v>243</v>
      </c>
      <c r="D81" s="499">
        <v>1000</v>
      </c>
      <c r="E81" s="499">
        <f>+P81/1000</f>
        <v>0</v>
      </c>
      <c r="F81" s="495">
        <v>135000</v>
      </c>
      <c r="G81" s="486">
        <f>+E81-D81</f>
        <v>-1000</v>
      </c>
      <c r="H81" s="515">
        <f>+G81/D81*100</f>
        <v>-100</v>
      </c>
      <c r="I81" s="182"/>
      <c r="J81" s="60"/>
      <c r="K81" s="9"/>
      <c r="L81" s="10"/>
      <c r="M81" s="339" t="s">
        <v>298</v>
      </c>
      <c r="N81" s="339"/>
      <c r="O81" s="339"/>
      <c r="P81" s="60">
        <f>SUM(P82:P82)</f>
        <v>0</v>
      </c>
      <c r="Q81" s="6" t="s">
        <v>261</v>
      </c>
      <c r="AD81" s="50"/>
      <c r="AE81" s="125"/>
      <c r="AF81" s="125"/>
    </row>
    <row r="82" spans="1:32" s="12" customFormat="1" ht="16.5" customHeight="1" thickBot="1">
      <c r="A82" s="97"/>
      <c r="B82" s="343"/>
      <c r="C82" s="541"/>
      <c r="D82" s="501"/>
      <c r="E82" s="501"/>
      <c r="F82" s="496"/>
      <c r="G82" s="487"/>
      <c r="H82" s="516"/>
      <c r="I82" s="161" t="s">
        <v>133</v>
      </c>
      <c r="J82" s="301">
        <v>0</v>
      </c>
      <c r="K82" s="306" t="s">
        <v>261</v>
      </c>
      <c r="L82" s="299" t="s">
        <v>277</v>
      </c>
      <c r="M82" s="390">
        <v>2</v>
      </c>
      <c r="N82" s="390" t="s">
        <v>275</v>
      </c>
      <c r="O82" s="300" t="s">
        <v>279</v>
      </c>
      <c r="P82" s="301">
        <f>J82*M82</f>
        <v>0</v>
      </c>
      <c r="Q82" s="16" t="s">
        <v>261</v>
      </c>
      <c r="AD82" s="50"/>
      <c r="AE82" s="125"/>
      <c r="AF82" s="125"/>
    </row>
    <row r="83" spans="1:32" ht="20.100000000000001" customHeight="1">
      <c r="A83" s="183" t="s">
        <v>306</v>
      </c>
      <c r="B83" s="583" t="s">
        <v>273</v>
      </c>
      <c r="C83" s="584"/>
      <c r="D83" s="184">
        <f>+D84+D99+D116+D143+D158+D164+D175+D181+D186+D195+D204</f>
        <v>1090871</v>
      </c>
      <c r="E83" s="184">
        <f>+E84+E99+E116+E143+E158+E164+E175+E181+E186+E195+E204</f>
        <v>981949.47985799995</v>
      </c>
      <c r="F83" s="185" t="e">
        <f>+F84+F99+F143+#REF!+#REF!+#REF!+F164+F175+F186+#REF!+#REF!+F195+F204+#REF!</f>
        <v>#REF!</v>
      </c>
      <c r="G83" s="186">
        <f>+E83-D83</f>
        <v>-108921.52014200005</v>
      </c>
      <c r="H83" s="187">
        <f>+G83/D83*100</f>
        <v>-9.9848213163609678</v>
      </c>
      <c r="I83" s="188"/>
      <c r="J83" s="189"/>
      <c r="K83" s="190"/>
      <c r="L83" s="191"/>
      <c r="M83" s="191"/>
      <c r="N83" s="191"/>
      <c r="O83" s="191"/>
      <c r="P83" s="189">
        <f>+P84+P99+P116+P143+P158+P164+P175+P181+P186+P195+P204</f>
        <v>981949479.85800004</v>
      </c>
      <c r="Q83" s="192" t="s">
        <v>261</v>
      </c>
    </row>
    <row r="84" spans="1:32" ht="20.100000000000001" customHeight="1">
      <c r="A84" s="148"/>
      <c r="B84" s="193" t="s">
        <v>212</v>
      </c>
      <c r="C84" s="342" t="s">
        <v>284</v>
      </c>
      <c r="D84" s="374">
        <f>SUM(D85:D96,D97:D98)</f>
        <v>141200</v>
      </c>
      <c r="E84" s="374">
        <f>SUM(E85:E96,E97:E98)</f>
        <v>124312</v>
      </c>
      <c r="F84" s="194">
        <f>SUM(F85:F96)</f>
        <v>59008</v>
      </c>
      <c r="G84" s="391">
        <f>+E84-D84</f>
        <v>-16888</v>
      </c>
      <c r="H84" s="375">
        <f>+G84/D84*100</f>
        <v>-11.960339943342776</v>
      </c>
      <c r="I84" s="195"/>
      <c r="J84" s="109"/>
      <c r="K84" s="72"/>
      <c r="L84" s="347"/>
      <c r="M84" s="472" t="s">
        <v>298</v>
      </c>
      <c r="N84" s="472"/>
      <c r="O84" s="472"/>
      <c r="P84" s="109">
        <f>SUM(P85,P89,P92,P97)</f>
        <v>124312000</v>
      </c>
      <c r="Q84" s="87" t="s">
        <v>261</v>
      </c>
    </row>
    <row r="85" spans="1:32" ht="15.95" customHeight="1">
      <c r="A85" s="148"/>
      <c r="B85" s="196" t="s">
        <v>62</v>
      </c>
      <c r="C85" s="565" t="s">
        <v>385</v>
      </c>
      <c r="D85" s="579">
        <v>68200</v>
      </c>
      <c r="E85" s="579">
        <f>+P85/1000</f>
        <v>60170</v>
      </c>
      <c r="F85" s="588">
        <v>896</v>
      </c>
      <c r="G85" s="595">
        <f>+E85-D85</f>
        <v>-8030</v>
      </c>
      <c r="H85" s="592">
        <f>+G85/D85*100</f>
        <v>-11.774193548387096</v>
      </c>
      <c r="I85" s="17"/>
      <c r="J85" s="8"/>
      <c r="K85" s="9"/>
      <c r="L85" s="9"/>
      <c r="M85" s="415" t="s">
        <v>298</v>
      </c>
      <c r="N85" s="415"/>
      <c r="O85" s="415"/>
      <c r="P85" s="5">
        <f>SUM(P86:P88)</f>
        <v>60170000</v>
      </c>
      <c r="Q85" s="6" t="s">
        <v>261</v>
      </c>
    </row>
    <row r="86" spans="1:32" ht="15.95" customHeight="1">
      <c r="A86" s="148"/>
      <c r="B86" s="162"/>
      <c r="C86" s="573"/>
      <c r="D86" s="580"/>
      <c r="E86" s="580"/>
      <c r="F86" s="589"/>
      <c r="G86" s="596"/>
      <c r="H86" s="593"/>
      <c r="I86" s="314" t="s">
        <v>372</v>
      </c>
      <c r="J86" s="298">
        <v>60000000</v>
      </c>
      <c r="K86" s="306" t="s">
        <v>261</v>
      </c>
      <c r="L86" s="299" t="s">
        <v>277</v>
      </c>
      <c r="M86" s="390">
        <v>1</v>
      </c>
      <c r="N86" s="390" t="s">
        <v>262</v>
      </c>
      <c r="O86" s="300" t="s">
        <v>279</v>
      </c>
      <c r="P86" s="298">
        <f>SUM(J86*M86)</f>
        <v>60000000</v>
      </c>
      <c r="Q86" s="16" t="s">
        <v>261</v>
      </c>
    </row>
    <row r="87" spans="1:32" ht="15.95" customHeight="1">
      <c r="A87" s="148"/>
      <c r="B87" s="162"/>
      <c r="C87" s="573"/>
      <c r="D87" s="580"/>
      <c r="E87" s="580"/>
      <c r="F87" s="589"/>
      <c r="G87" s="596"/>
      <c r="H87" s="593"/>
      <c r="I87" s="314" t="s">
        <v>441</v>
      </c>
      <c r="J87" s="298">
        <v>0</v>
      </c>
      <c r="K87" s="306" t="s">
        <v>261</v>
      </c>
      <c r="L87" s="299" t="s">
        <v>277</v>
      </c>
      <c r="M87" s="390">
        <v>1</v>
      </c>
      <c r="N87" s="390" t="s">
        <v>262</v>
      </c>
      <c r="O87" s="300" t="s">
        <v>279</v>
      </c>
      <c r="P87" s="298">
        <f>SUM(J87*M87)</f>
        <v>0</v>
      </c>
      <c r="Q87" s="16" t="s">
        <v>261</v>
      </c>
    </row>
    <row r="88" spans="1:32" ht="15.95" customHeight="1">
      <c r="A88" s="148"/>
      <c r="B88" s="343"/>
      <c r="C88" s="574"/>
      <c r="D88" s="581"/>
      <c r="E88" s="581"/>
      <c r="F88" s="590"/>
      <c r="G88" s="597">
        <f>+E88-D88</f>
        <v>0</v>
      </c>
      <c r="H88" s="594" t="e">
        <f>+G88/D88*100</f>
        <v>#DIV/0!</v>
      </c>
      <c r="I88" s="18" t="s">
        <v>334</v>
      </c>
      <c r="J88" s="19">
        <v>170000</v>
      </c>
      <c r="K88" s="20" t="s">
        <v>261</v>
      </c>
      <c r="L88" s="389" t="s">
        <v>277</v>
      </c>
      <c r="M88" s="389">
        <v>1</v>
      </c>
      <c r="N88" s="389" t="s">
        <v>275</v>
      </c>
      <c r="O88" s="22" t="s">
        <v>279</v>
      </c>
      <c r="P88" s="19">
        <f>SUM(J88*M88)</f>
        <v>170000</v>
      </c>
      <c r="Q88" s="23" t="s">
        <v>261</v>
      </c>
    </row>
    <row r="89" spans="1:32" ht="15.95" customHeight="1">
      <c r="A89" s="148"/>
      <c r="B89" s="343"/>
      <c r="C89" s="543" t="s">
        <v>319</v>
      </c>
      <c r="D89" s="497">
        <v>15500</v>
      </c>
      <c r="E89" s="497">
        <f>+P89/1000</f>
        <v>10500</v>
      </c>
      <c r="F89" s="495">
        <v>8000</v>
      </c>
      <c r="G89" s="513">
        <f>+E89-D89</f>
        <v>-5000</v>
      </c>
      <c r="H89" s="507">
        <f>+G89/D89*100</f>
        <v>-32.258064516129032</v>
      </c>
      <c r="I89" s="159"/>
      <c r="J89" s="8"/>
      <c r="K89" s="9"/>
      <c r="L89" s="10"/>
      <c r="M89" s="415" t="s">
        <v>298</v>
      </c>
      <c r="N89" s="415"/>
      <c r="O89" s="415"/>
      <c r="P89" s="8">
        <f>SUM(P90:P91)</f>
        <v>10500000</v>
      </c>
      <c r="Q89" s="6" t="s">
        <v>261</v>
      </c>
    </row>
    <row r="90" spans="1:32" ht="15.95" customHeight="1">
      <c r="A90" s="148"/>
      <c r="B90" s="343"/>
      <c r="C90" s="544"/>
      <c r="D90" s="498"/>
      <c r="E90" s="498"/>
      <c r="F90" s="496"/>
      <c r="G90" s="514"/>
      <c r="H90" s="508"/>
      <c r="I90" s="308" t="s">
        <v>369</v>
      </c>
      <c r="J90" s="298">
        <v>5500000</v>
      </c>
      <c r="K90" s="306" t="s">
        <v>261</v>
      </c>
      <c r="L90" s="390" t="s">
        <v>277</v>
      </c>
      <c r="M90" s="390">
        <v>1</v>
      </c>
      <c r="N90" s="390" t="s">
        <v>304</v>
      </c>
      <c r="O90" s="390" t="s">
        <v>279</v>
      </c>
      <c r="P90" s="298">
        <f>J90*M90</f>
        <v>5500000</v>
      </c>
      <c r="Q90" s="16" t="s">
        <v>261</v>
      </c>
    </row>
    <row r="91" spans="1:32" ht="15.95" customHeight="1">
      <c r="A91" s="148"/>
      <c r="B91" s="343"/>
      <c r="C91" s="545"/>
      <c r="D91" s="506"/>
      <c r="E91" s="506"/>
      <c r="F91" s="504"/>
      <c r="G91" s="518"/>
      <c r="H91" s="519"/>
      <c r="I91" s="266" t="s">
        <v>370</v>
      </c>
      <c r="J91" s="19">
        <v>5000000</v>
      </c>
      <c r="K91" s="20" t="s">
        <v>261</v>
      </c>
      <c r="L91" s="389" t="s">
        <v>277</v>
      </c>
      <c r="M91" s="389">
        <v>1</v>
      </c>
      <c r="N91" s="389" t="s">
        <v>304</v>
      </c>
      <c r="O91" s="22" t="s">
        <v>279</v>
      </c>
      <c r="P91" s="19">
        <f>SUM(J91*M91)</f>
        <v>5000000</v>
      </c>
      <c r="Q91" s="23" t="s">
        <v>261</v>
      </c>
    </row>
    <row r="92" spans="1:32" ht="15.95" customHeight="1">
      <c r="A92" s="197"/>
      <c r="B92" s="198"/>
      <c r="C92" s="537" t="s">
        <v>350</v>
      </c>
      <c r="D92" s="497">
        <v>57000</v>
      </c>
      <c r="E92" s="497">
        <f>+P92/1000</f>
        <v>53620</v>
      </c>
      <c r="F92" s="495">
        <v>50112</v>
      </c>
      <c r="G92" s="513">
        <f>+E92-D92</f>
        <v>-3380</v>
      </c>
      <c r="H92" s="507">
        <f>+G92/D92*100</f>
        <v>-5.9298245614035086</v>
      </c>
      <c r="I92" s="159"/>
      <c r="J92" s="8"/>
      <c r="K92" s="9"/>
      <c r="L92" s="10"/>
      <c r="M92" s="415" t="s">
        <v>298</v>
      </c>
      <c r="N92" s="415"/>
      <c r="O92" s="415"/>
      <c r="P92" s="8">
        <f>SUM(P93:P96)</f>
        <v>53620000</v>
      </c>
      <c r="Q92" s="6" t="s">
        <v>261</v>
      </c>
    </row>
    <row r="93" spans="1:32" ht="15.95" customHeight="1">
      <c r="A93" s="197"/>
      <c r="B93" s="198"/>
      <c r="C93" s="541"/>
      <c r="D93" s="498"/>
      <c r="E93" s="498"/>
      <c r="F93" s="496"/>
      <c r="G93" s="514">
        <f>+E93-D93</f>
        <v>0</v>
      </c>
      <c r="H93" s="508" t="e">
        <f>+G93/D93*100</f>
        <v>#DIV/0!</v>
      </c>
      <c r="I93" s="345" t="s">
        <v>386</v>
      </c>
      <c r="J93" s="298">
        <v>52820000</v>
      </c>
      <c r="K93" s="306" t="s">
        <v>261</v>
      </c>
      <c r="L93" s="299" t="s">
        <v>277</v>
      </c>
      <c r="M93" s="390">
        <v>1</v>
      </c>
      <c r="N93" s="390" t="s">
        <v>275</v>
      </c>
      <c r="O93" s="390" t="s">
        <v>279</v>
      </c>
      <c r="P93" s="298">
        <f>J93*M93</f>
        <v>52820000</v>
      </c>
      <c r="Q93" s="16" t="s">
        <v>261</v>
      </c>
    </row>
    <row r="94" spans="1:32" ht="15.95" customHeight="1">
      <c r="A94" s="148"/>
      <c r="B94" s="343"/>
      <c r="C94" s="541"/>
      <c r="D94" s="498"/>
      <c r="E94" s="498"/>
      <c r="F94" s="496"/>
      <c r="G94" s="514"/>
      <c r="H94" s="508"/>
      <c r="I94" s="345" t="s">
        <v>379</v>
      </c>
      <c r="J94" s="298">
        <v>0</v>
      </c>
      <c r="K94" s="306" t="s">
        <v>261</v>
      </c>
      <c r="L94" s="299" t="s">
        <v>277</v>
      </c>
      <c r="M94" s="390">
        <v>1</v>
      </c>
      <c r="N94" s="390" t="s">
        <v>275</v>
      </c>
      <c r="O94" s="390" t="s">
        <v>279</v>
      </c>
      <c r="P94" s="298">
        <f>J94*M94</f>
        <v>0</v>
      </c>
      <c r="Q94" s="16" t="s">
        <v>261</v>
      </c>
    </row>
    <row r="95" spans="1:32" ht="15.95" customHeight="1">
      <c r="A95" s="148"/>
      <c r="B95" s="343"/>
      <c r="C95" s="541"/>
      <c r="D95" s="498"/>
      <c r="E95" s="498"/>
      <c r="F95" s="496"/>
      <c r="G95" s="514"/>
      <c r="H95" s="508"/>
      <c r="I95" s="345" t="s">
        <v>371</v>
      </c>
      <c r="J95" s="298">
        <v>800000</v>
      </c>
      <c r="K95" s="306" t="s">
        <v>261</v>
      </c>
      <c r="L95" s="299" t="s">
        <v>277</v>
      </c>
      <c r="M95" s="390">
        <v>1</v>
      </c>
      <c r="N95" s="390" t="s">
        <v>262</v>
      </c>
      <c r="O95" s="390" t="s">
        <v>279</v>
      </c>
      <c r="P95" s="298">
        <f>J95*M95</f>
        <v>800000</v>
      </c>
      <c r="Q95" s="16" t="s">
        <v>261</v>
      </c>
    </row>
    <row r="96" spans="1:32" ht="15.95" customHeight="1">
      <c r="A96" s="148"/>
      <c r="B96" s="343"/>
      <c r="C96" s="542"/>
      <c r="D96" s="506"/>
      <c r="E96" s="506"/>
      <c r="F96" s="504"/>
      <c r="G96" s="518">
        <f>+E96-D96</f>
        <v>0</v>
      </c>
      <c r="H96" s="519" t="e">
        <f>+G96/D96*100</f>
        <v>#DIV/0!</v>
      </c>
      <c r="I96" s="160" t="s">
        <v>380</v>
      </c>
      <c r="J96" s="19">
        <v>0</v>
      </c>
      <c r="K96" s="20" t="s">
        <v>261</v>
      </c>
      <c r="L96" s="21" t="s">
        <v>290</v>
      </c>
      <c r="M96" s="389">
        <v>1</v>
      </c>
      <c r="N96" s="389" t="s">
        <v>275</v>
      </c>
      <c r="O96" s="22" t="s">
        <v>279</v>
      </c>
      <c r="P96" s="19">
        <f>SUM(J96*M96)</f>
        <v>0</v>
      </c>
      <c r="Q96" s="23" t="s">
        <v>261</v>
      </c>
    </row>
    <row r="97" spans="1:17" ht="15.95" customHeight="1">
      <c r="A97" s="197"/>
      <c r="B97" s="162"/>
      <c r="C97" s="537" t="s">
        <v>323</v>
      </c>
      <c r="D97" s="497">
        <v>500</v>
      </c>
      <c r="E97" s="497">
        <f>P97/1000</f>
        <v>22</v>
      </c>
      <c r="F97" s="358"/>
      <c r="G97" s="513">
        <f>E97-D97</f>
        <v>-478</v>
      </c>
      <c r="H97" s="507">
        <f>G97/D97*100</f>
        <v>-95.6</v>
      </c>
      <c r="I97" s="308"/>
      <c r="J97" s="298"/>
      <c r="K97" s="306"/>
      <c r="L97" s="299"/>
      <c r="M97" s="415" t="s">
        <v>298</v>
      </c>
      <c r="N97" s="415"/>
      <c r="O97" s="415"/>
      <c r="P97" s="298">
        <f>SUM(P98:P98)</f>
        <v>22000</v>
      </c>
      <c r="Q97" s="16" t="s">
        <v>261</v>
      </c>
    </row>
    <row r="98" spans="1:17" ht="15.95" customHeight="1">
      <c r="A98" s="197"/>
      <c r="B98" s="78"/>
      <c r="C98" s="511"/>
      <c r="D98" s="506"/>
      <c r="E98" s="506"/>
      <c r="F98" s="358"/>
      <c r="G98" s="518"/>
      <c r="H98" s="519"/>
      <c r="I98" s="266" t="s">
        <v>348</v>
      </c>
      <c r="J98" s="19">
        <v>22000</v>
      </c>
      <c r="K98" s="20" t="s">
        <v>261</v>
      </c>
      <c r="L98" s="21" t="s">
        <v>277</v>
      </c>
      <c r="M98" s="389">
        <v>1</v>
      </c>
      <c r="N98" s="389" t="s">
        <v>275</v>
      </c>
      <c r="O98" s="389" t="s">
        <v>279</v>
      </c>
      <c r="P98" s="19">
        <f>J98*M98</f>
        <v>22000</v>
      </c>
      <c r="Q98" s="23" t="s">
        <v>261</v>
      </c>
    </row>
    <row r="99" spans="1:17" ht="20.100000000000001" customHeight="1">
      <c r="A99" s="197"/>
      <c r="B99" s="57" t="s">
        <v>211</v>
      </c>
      <c r="C99" s="199" t="s">
        <v>66</v>
      </c>
      <c r="D99" s="200">
        <f>SUM(D100:D114)</f>
        <v>97500</v>
      </c>
      <c r="E99" s="200">
        <f>P99/1000</f>
        <v>96329.3</v>
      </c>
      <c r="F99" s="201">
        <f>SUM(F100:F116)</f>
        <v>161152</v>
      </c>
      <c r="G99" s="369">
        <f>+E99-D99</f>
        <v>-1170.6999999999971</v>
      </c>
      <c r="H99" s="370">
        <f>+G99/D99*100</f>
        <v>-1.2007179487179458</v>
      </c>
      <c r="I99" s="160"/>
      <c r="J99" s="65"/>
      <c r="K99" s="20"/>
      <c r="L99" s="20"/>
      <c r="M99" s="558"/>
      <c r="N99" s="558"/>
      <c r="O99" s="558"/>
      <c r="P99" s="263">
        <f>SUM(P100,P103,P106,P110,P113)</f>
        <v>96329300</v>
      </c>
      <c r="Q99" s="23" t="s">
        <v>261</v>
      </c>
    </row>
    <row r="100" spans="1:17" ht="15.75" customHeight="1">
      <c r="A100" s="148"/>
      <c r="B100" s="352"/>
      <c r="C100" s="509" t="s">
        <v>179</v>
      </c>
      <c r="D100" s="497">
        <v>20000</v>
      </c>
      <c r="E100" s="497">
        <f>+P100/1000</f>
        <v>19746.2</v>
      </c>
      <c r="F100" s="495">
        <v>96000</v>
      </c>
      <c r="G100" s="513">
        <f>+E100-D100</f>
        <v>-253.79999999999927</v>
      </c>
      <c r="H100" s="507">
        <f>+G100/D100*100</f>
        <v>-1.2689999999999964</v>
      </c>
      <c r="I100" s="17"/>
      <c r="J100" s="8"/>
      <c r="K100" s="9"/>
      <c r="L100" s="10"/>
      <c r="M100" s="415" t="s">
        <v>298</v>
      </c>
      <c r="N100" s="415"/>
      <c r="O100" s="415"/>
      <c r="P100" s="5">
        <f>SUM(P101:P102)</f>
        <v>19746200</v>
      </c>
      <c r="Q100" s="6" t="s">
        <v>261</v>
      </c>
    </row>
    <row r="101" spans="1:17" ht="15.75" customHeight="1">
      <c r="A101" s="148"/>
      <c r="B101" s="343"/>
      <c r="C101" s="510"/>
      <c r="D101" s="498"/>
      <c r="E101" s="498"/>
      <c r="F101" s="496"/>
      <c r="G101" s="514"/>
      <c r="H101" s="508"/>
      <c r="I101" s="308" t="s">
        <v>452</v>
      </c>
      <c r="J101" s="298">
        <v>48100</v>
      </c>
      <c r="K101" s="306" t="s">
        <v>261</v>
      </c>
      <c r="L101" s="299" t="s">
        <v>277</v>
      </c>
      <c r="M101" s="390">
        <v>2</v>
      </c>
      <c r="N101" s="390" t="s">
        <v>275</v>
      </c>
      <c r="O101" s="390" t="s">
        <v>279</v>
      </c>
      <c r="P101" s="311">
        <f>J101*M101</f>
        <v>96200</v>
      </c>
      <c r="Q101" s="16" t="s">
        <v>261</v>
      </c>
    </row>
    <row r="102" spans="1:17" ht="15.75" customHeight="1">
      <c r="A102" s="148"/>
      <c r="B102" s="343"/>
      <c r="C102" s="511"/>
      <c r="D102" s="506"/>
      <c r="E102" s="506"/>
      <c r="F102" s="504"/>
      <c r="G102" s="518"/>
      <c r="H102" s="519"/>
      <c r="I102" s="18" t="s">
        <v>101</v>
      </c>
      <c r="J102" s="19">
        <v>4950000</v>
      </c>
      <c r="K102" s="20" t="s">
        <v>261</v>
      </c>
      <c r="L102" s="21" t="s">
        <v>277</v>
      </c>
      <c r="M102" s="389">
        <v>4</v>
      </c>
      <c r="N102" s="389" t="s">
        <v>275</v>
      </c>
      <c r="O102" s="22" t="s">
        <v>279</v>
      </c>
      <c r="P102" s="19">
        <v>19650000</v>
      </c>
      <c r="Q102" s="23" t="s">
        <v>261</v>
      </c>
    </row>
    <row r="103" spans="1:17" ht="15.75" customHeight="1">
      <c r="A103" s="148"/>
      <c r="B103" s="343"/>
      <c r="C103" s="582" t="s">
        <v>46</v>
      </c>
      <c r="D103" s="533">
        <v>18000</v>
      </c>
      <c r="E103" s="533">
        <f>+P103/1000</f>
        <v>18000</v>
      </c>
      <c r="F103" s="531">
        <v>11052</v>
      </c>
      <c r="G103" s="521">
        <f>+E103-D103</f>
        <v>0</v>
      </c>
      <c r="H103" s="522">
        <f>+G103/D103*100</f>
        <v>0</v>
      </c>
      <c r="I103" s="159"/>
      <c r="J103" s="8"/>
      <c r="K103" s="9"/>
      <c r="L103" s="10"/>
      <c r="M103" s="415" t="s">
        <v>298</v>
      </c>
      <c r="N103" s="415"/>
      <c r="O103" s="415"/>
      <c r="P103" s="8">
        <f>SUM(P104:P105)</f>
        <v>18000000</v>
      </c>
      <c r="Q103" s="6" t="s">
        <v>261</v>
      </c>
    </row>
    <row r="104" spans="1:17" ht="15.75" customHeight="1">
      <c r="A104" s="148"/>
      <c r="B104" s="343"/>
      <c r="C104" s="582"/>
      <c r="D104" s="533"/>
      <c r="E104" s="533"/>
      <c r="F104" s="531"/>
      <c r="G104" s="521">
        <f>+E104-D104</f>
        <v>0</v>
      </c>
      <c r="H104" s="522" t="e">
        <f>+G104/D104*100</f>
        <v>#DIV/0!</v>
      </c>
      <c r="I104" s="345" t="s">
        <v>225</v>
      </c>
      <c r="J104" s="298">
        <v>0</v>
      </c>
      <c r="K104" s="306" t="s">
        <v>261</v>
      </c>
      <c r="L104" s="299" t="s">
        <v>290</v>
      </c>
      <c r="M104" s="390">
        <v>0</v>
      </c>
      <c r="N104" s="390" t="s">
        <v>275</v>
      </c>
      <c r="O104" s="390" t="s">
        <v>279</v>
      </c>
      <c r="P104" s="298">
        <f>SUM(J104*M104)</f>
        <v>0</v>
      </c>
      <c r="Q104" s="16" t="s">
        <v>261</v>
      </c>
    </row>
    <row r="105" spans="1:17" ht="15.75" customHeight="1">
      <c r="A105" s="148"/>
      <c r="B105" s="343"/>
      <c r="C105" s="582"/>
      <c r="D105" s="533"/>
      <c r="E105" s="533"/>
      <c r="F105" s="531"/>
      <c r="G105" s="521"/>
      <c r="H105" s="522"/>
      <c r="I105" s="345" t="s">
        <v>347</v>
      </c>
      <c r="J105" s="298">
        <v>1500000</v>
      </c>
      <c r="K105" s="306" t="s">
        <v>261</v>
      </c>
      <c r="L105" s="299" t="s">
        <v>277</v>
      </c>
      <c r="M105" s="390">
        <v>12</v>
      </c>
      <c r="N105" s="390" t="s">
        <v>275</v>
      </c>
      <c r="O105" s="390" t="s">
        <v>279</v>
      </c>
      <c r="P105" s="298">
        <f>SUM(J105*M105)</f>
        <v>18000000</v>
      </c>
      <c r="Q105" s="16" t="s">
        <v>261</v>
      </c>
    </row>
    <row r="106" spans="1:17" ht="15.95" customHeight="1">
      <c r="A106" s="197"/>
      <c r="B106" s="352"/>
      <c r="C106" s="509" t="s">
        <v>84</v>
      </c>
      <c r="D106" s="497">
        <v>27000</v>
      </c>
      <c r="E106" s="497">
        <f>+P106/1000</f>
        <v>26083.1</v>
      </c>
      <c r="F106" s="531">
        <v>20000</v>
      </c>
      <c r="G106" s="513">
        <f>+E106-D106</f>
        <v>-916.90000000000146</v>
      </c>
      <c r="H106" s="527">
        <f>+G106/D106*100</f>
        <v>-3.3959259259259316</v>
      </c>
      <c r="I106" s="159"/>
      <c r="J106" s="8"/>
      <c r="K106" s="9"/>
      <c r="L106" s="10"/>
      <c r="M106" s="415" t="s">
        <v>298</v>
      </c>
      <c r="N106" s="415"/>
      <c r="O106" s="415"/>
      <c r="P106" s="8">
        <f>SUM(P107:P109)</f>
        <v>26083100</v>
      </c>
      <c r="Q106" s="6" t="s">
        <v>261</v>
      </c>
    </row>
    <row r="107" spans="1:17" ht="15.95" customHeight="1">
      <c r="A107" s="148"/>
      <c r="B107" s="352"/>
      <c r="C107" s="510"/>
      <c r="D107" s="498"/>
      <c r="E107" s="498"/>
      <c r="F107" s="531"/>
      <c r="G107" s="514"/>
      <c r="H107" s="528"/>
      <c r="I107" s="345" t="s">
        <v>125</v>
      </c>
      <c r="J107" s="298">
        <v>83100</v>
      </c>
      <c r="K107" s="306" t="s">
        <v>261</v>
      </c>
      <c r="L107" s="299" t="s">
        <v>277</v>
      </c>
      <c r="M107" s="390">
        <v>1</v>
      </c>
      <c r="N107" s="390" t="s">
        <v>275</v>
      </c>
      <c r="O107" s="300" t="s">
        <v>279</v>
      </c>
      <c r="P107" s="298">
        <f>SUM(J107*M107)</f>
        <v>83100</v>
      </c>
      <c r="Q107" s="16" t="s">
        <v>261</v>
      </c>
    </row>
    <row r="108" spans="1:17" ht="15.95" customHeight="1">
      <c r="A108" s="148"/>
      <c r="B108" s="203"/>
      <c r="C108" s="510"/>
      <c r="D108" s="498"/>
      <c r="E108" s="498"/>
      <c r="F108" s="531"/>
      <c r="G108" s="514"/>
      <c r="H108" s="528"/>
      <c r="I108" s="345" t="s">
        <v>78</v>
      </c>
      <c r="J108" s="298">
        <v>12000000</v>
      </c>
      <c r="K108" s="306" t="s">
        <v>261</v>
      </c>
      <c r="L108" s="299" t="s">
        <v>277</v>
      </c>
      <c r="M108" s="390">
        <v>2</v>
      </c>
      <c r="N108" s="390" t="s">
        <v>275</v>
      </c>
      <c r="O108" s="300" t="s">
        <v>279</v>
      </c>
      <c r="P108" s="298">
        <v>23000000</v>
      </c>
      <c r="Q108" s="16" t="s">
        <v>261</v>
      </c>
    </row>
    <row r="109" spans="1:17" ht="15.95" customHeight="1">
      <c r="A109" s="148"/>
      <c r="B109" s="203"/>
      <c r="C109" s="511"/>
      <c r="D109" s="506"/>
      <c r="E109" s="506"/>
      <c r="F109" s="357"/>
      <c r="G109" s="518"/>
      <c r="H109" s="530"/>
      <c r="I109" s="345" t="s">
        <v>60</v>
      </c>
      <c r="J109" s="298">
        <v>3000000</v>
      </c>
      <c r="K109" s="306" t="s">
        <v>261</v>
      </c>
      <c r="L109" s="299" t="s">
        <v>277</v>
      </c>
      <c r="M109" s="390">
        <v>1</v>
      </c>
      <c r="N109" s="390" t="s">
        <v>275</v>
      </c>
      <c r="O109" s="300" t="s">
        <v>279</v>
      </c>
      <c r="P109" s="298">
        <f>SUM(J109*M109)</f>
        <v>3000000</v>
      </c>
      <c r="Q109" s="16" t="s">
        <v>261</v>
      </c>
    </row>
    <row r="110" spans="1:17" ht="15.95" customHeight="1">
      <c r="A110" s="148"/>
      <c r="B110" s="203"/>
      <c r="C110" s="509" t="s">
        <v>76</v>
      </c>
      <c r="D110" s="497">
        <v>22900</v>
      </c>
      <c r="E110" s="497">
        <f>+P110/1000</f>
        <v>22900</v>
      </c>
      <c r="F110" s="357"/>
      <c r="G110" s="513">
        <f>+E110-D110</f>
        <v>0</v>
      </c>
      <c r="H110" s="549">
        <f>+G110/D110*100</f>
        <v>0</v>
      </c>
      <c r="I110" s="159"/>
      <c r="J110" s="8"/>
      <c r="K110" s="9"/>
      <c r="L110" s="10"/>
      <c r="M110" s="415" t="s">
        <v>298</v>
      </c>
      <c r="N110" s="415"/>
      <c r="O110" s="415"/>
      <c r="P110" s="8">
        <f>SUM(P111:P112)</f>
        <v>22900000</v>
      </c>
      <c r="Q110" s="6" t="s">
        <v>261</v>
      </c>
    </row>
    <row r="111" spans="1:17" ht="15.95" customHeight="1">
      <c r="A111" s="148"/>
      <c r="B111" s="343"/>
      <c r="C111" s="510"/>
      <c r="D111" s="498"/>
      <c r="E111" s="498"/>
      <c r="F111" s="204">
        <v>16000</v>
      </c>
      <c r="G111" s="514"/>
      <c r="H111" s="550"/>
      <c r="I111" s="345" t="s">
        <v>125</v>
      </c>
      <c r="J111" s="298">
        <v>50000</v>
      </c>
      <c r="K111" s="306" t="s">
        <v>261</v>
      </c>
      <c r="L111" s="299" t="s">
        <v>277</v>
      </c>
      <c r="M111" s="390">
        <v>2</v>
      </c>
      <c r="N111" s="390" t="s">
        <v>275</v>
      </c>
      <c r="O111" s="300" t="s">
        <v>279</v>
      </c>
      <c r="P111" s="298">
        <f>SUM(J111*M111)</f>
        <v>100000</v>
      </c>
      <c r="Q111" s="16" t="s">
        <v>261</v>
      </c>
    </row>
    <row r="112" spans="1:17" ht="15.95" customHeight="1">
      <c r="A112" s="148"/>
      <c r="B112" s="343"/>
      <c r="C112" s="511"/>
      <c r="D112" s="506"/>
      <c r="E112" s="506"/>
      <c r="F112" s="201"/>
      <c r="G112" s="518"/>
      <c r="H112" s="551"/>
      <c r="I112" s="181" t="s">
        <v>78</v>
      </c>
      <c r="J112" s="295">
        <v>5700000</v>
      </c>
      <c r="K112" s="20" t="s">
        <v>261</v>
      </c>
      <c r="L112" s="21" t="s">
        <v>277</v>
      </c>
      <c r="M112" s="389">
        <v>4</v>
      </c>
      <c r="N112" s="389" t="s">
        <v>275</v>
      </c>
      <c r="O112" s="22" t="s">
        <v>279</v>
      </c>
      <c r="P112" s="295">
        <f>SUM(J112*M112)</f>
        <v>22800000</v>
      </c>
      <c r="Q112" s="23" t="s">
        <v>261</v>
      </c>
    </row>
    <row r="113" spans="1:17" ht="15.95" customHeight="1">
      <c r="A113" s="148"/>
      <c r="B113" s="343"/>
      <c r="C113" s="538" t="s">
        <v>93</v>
      </c>
      <c r="D113" s="497">
        <v>9600</v>
      </c>
      <c r="E113" s="497">
        <f>+P113/1000</f>
        <v>9600</v>
      </c>
      <c r="F113" s="495">
        <v>18100</v>
      </c>
      <c r="G113" s="513">
        <f>+E113-D113</f>
        <v>0</v>
      </c>
      <c r="H113" s="507">
        <f>+G113/D113*100</f>
        <v>0</v>
      </c>
      <c r="I113" s="17"/>
      <c r="J113" s="8"/>
      <c r="K113" s="9"/>
      <c r="L113" s="10"/>
      <c r="M113" s="415" t="s">
        <v>298</v>
      </c>
      <c r="N113" s="415"/>
      <c r="O113" s="415"/>
      <c r="P113" s="8">
        <f>SUM(P114:P115)</f>
        <v>9600000</v>
      </c>
      <c r="Q113" s="6" t="s">
        <v>261</v>
      </c>
    </row>
    <row r="114" spans="1:17" ht="15.95" customHeight="1">
      <c r="A114" s="148"/>
      <c r="B114" s="343"/>
      <c r="C114" s="540"/>
      <c r="D114" s="498"/>
      <c r="E114" s="498"/>
      <c r="F114" s="496"/>
      <c r="G114" s="514">
        <f>+E114-D114</f>
        <v>0</v>
      </c>
      <c r="H114" s="508" t="e">
        <f>+G114/D114*100</f>
        <v>#DIV/0!</v>
      </c>
      <c r="I114" s="308" t="s">
        <v>125</v>
      </c>
      <c r="J114" s="298">
        <v>0</v>
      </c>
      <c r="K114" s="306" t="s">
        <v>261</v>
      </c>
      <c r="L114" s="299" t="s">
        <v>277</v>
      </c>
      <c r="M114" s="390">
        <v>0</v>
      </c>
      <c r="N114" s="390" t="s">
        <v>275</v>
      </c>
      <c r="O114" s="300" t="s">
        <v>279</v>
      </c>
      <c r="P114" s="298">
        <f>SUM(J114*M114)</f>
        <v>0</v>
      </c>
      <c r="Q114" s="16" t="s">
        <v>261</v>
      </c>
    </row>
    <row r="115" spans="1:17" ht="15.95" customHeight="1">
      <c r="A115" s="148"/>
      <c r="B115" s="344"/>
      <c r="C115" s="539"/>
      <c r="D115" s="506"/>
      <c r="E115" s="506"/>
      <c r="F115" s="504"/>
      <c r="G115" s="518">
        <f>+E115-D115</f>
        <v>0</v>
      </c>
      <c r="H115" s="519" t="e">
        <f>+G115/D115*100</f>
        <v>#DIV/0!</v>
      </c>
      <c r="I115" s="18" t="s">
        <v>101</v>
      </c>
      <c r="J115" s="19">
        <v>2400000</v>
      </c>
      <c r="K115" s="20" t="s">
        <v>261</v>
      </c>
      <c r="L115" s="21" t="s">
        <v>277</v>
      </c>
      <c r="M115" s="389">
        <v>4</v>
      </c>
      <c r="N115" s="389" t="s">
        <v>275</v>
      </c>
      <c r="O115" s="22" t="s">
        <v>279</v>
      </c>
      <c r="P115" s="19">
        <f>SUM(J115*M115)</f>
        <v>9600000</v>
      </c>
      <c r="Q115" s="23" t="s">
        <v>261</v>
      </c>
    </row>
    <row r="116" spans="1:17" ht="20.100000000000001" customHeight="1">
      <c r="A116" s="197" t="s">
        <v>306</v>
      </c>
      <c r="B116" s="205" t="s">
        <v>44</v>
      </c>
      <c r="C116" s="380" t="s">
        <v>284</v>
      </c>
      <c r="D116" s="356">
        <f>SUM(D117:D142)</f>
        <v>275316</v>
      </c>
      <c r="E116" s="356">
        <f>P116/1000</f>
        <v>263802.27985799999</v>
      </c>
      <c r="F116" s="359"/>
      <c r="G116" s="361">
        <f>E116-D116</f>
        <v>-11513.720142000006</v>
      </c>
      <c r="H116" s="206">
        <f>G116/D116*100</f>
        <v>-4.1820018240857797</v>
      </c>
      <c r="I116" s="308"/>
      <c r="J116" s="298"/>
      <c r="K116" s="306"/>
      <c r="L116" s="299"/>
      <c r="M116" s="472"/>
      <c r="N116" s="472"/>
      <c r="O116" s="472"/>
      <c r="P116" s="298">
        <f>SUM(P117,P120,P122,P128,P130,P132,P138,P140)</f>
        <v>263802279.85800001</v>
      </c>
      <c r="Q116" s="23" t="s">
        <v>261</v>
      </c>
    </row>
    <row r="117" spans="1:17" ht="15.95" customHeight="1">
      <c r="A117" s="148"/>
      <c r="B117" s="198" t="s">
        <v>57</v>
      </c>
      <c r="C117" s="509" t="s">
        <v>424</v>
      </c>
      <c r="D117" s="497">
        <v>15500</v>
      </c>
      <c r="E117" s="497">
        <f>P117/1000</f>
        <v>20500</v>
      </c>
      <c r="F117" s="357"/>
      <c r="G117" s="513">
        <f>E117-D117</f>
        <v>5000</v>
      </c>
      <c r="H117" s="507">
        <f>G117/D117*100</f>
        <v>32.258064516129032</v>
      </c>
      <c r="I117" s="17"/>
      <c r="J117" s="8"/>
      <c r="K117" s="9"/>
      <c r="L117" s="10"/>
      <c r="M117" s="415" t="s">
        <v>298</v>
      </c>
      <c r="N117" s="415"/>
      <c r="O117" s="415"/>
      <c r="P117" s="8">
        <f>SUM(P118:P119)</f>
        <v>20500000</v>
      </c>
      <c r="Q117" s="6" t="s">
        <v>261</v>
      </c>
    </row>
    <row r="118" spans="1:17" ht="15.95" customHeight="1">
      <c r="A118" s="148"/>
      <c r="B118" s="207"/>
      <c r="C118" s="510"/>
      <c r="D118" s="498"/>
      <c r="E118" s="498"/>
      <c r="F118" s="359"/>
      <c r="G118" s="514"/>
      <c r="H118" s="508"/>
      <c r="I118" s="308" t="s">
        <v>425</v>
      </c>
      <c r="J118" s="298">
        <v>20000000</v>
      </c>
      <c r="K118" s="306" t="s">
        <v>261</v>
      </c>
      <c r="L118" s="299" t="s">
        <v>277</v>
      </c>
      <c r="M118" s="390">
        <v>1</v>
      </c>
      <c r="N118" s="390" t="s">
        <v>275</v>
      </c>
      <c r="O118" s="300" t="s">
        <v>279</v>
      </c>
      <c r="P118" s="298">
        <f t="shared" ref="P118:P119" si="7">SUM(J118*M118)</f>
        <v>20000000</v>
      </c>
      <c r="Q118" s="16" t="s">
        <v>261</v>
      </c>
    </row>
    <row r="119" spans="1:17" ht="15.95" customHeight="1">
      <c r="A119" s="148"/>
      <c r="B119" s="207"/>
      <c r="C119" s="511"/>
      <c r="D119" s="506"/>
      <c r="E119" s="506"/>
      <c r="F119" s="358"/>
      <c r="G119" s="518"/>
      <c r="H119" s="508"/>
      <c r="I119" s="18" t="s">
        <v>366</v>
      </c>
      <c r="J119" s="19">
        <v>250000</v>
      </c>
      <c r="K119" s="20" t="s">
        <v>261</v>
      </c>
      <c r="L119" s="21" t="s">
        <v>277</v>
      </c>
      <c r="M119" s="389">
        <v>2</v>
      </c>
      <c r="N119" s="389" t="s">
        <v>275</v>
      </c>
      <c r="O119" s="22" t="s">
        <v>279</v>
      </c>
      <c r="P119" s="19">
        <f t="shared" si="7"/>
        <v>500000</v>
      </c>
      <c r="Q119" s="23" t="s">
        <v>261</v>
      </c>
    </row>
    <row r="120" spans="1:17" ht="15.95" customHeight="1">
      <c r="A120" s="148"/>
      <c r="B120" s="343"/>
      <c r="C120" s="509" t="s">
        <v>128</v>
      </c>
      <c r="D120" s="497">
        <v>100</v>
      </c>
      <c r="E120" s="497">
        <f>+P120/1000</f>
        <v>100</v>
      </c>
      <c r="F120" s="495">
        <v>0</v>
      </c>
      <c r="G120" s="513">
        <f>+E120-D120</f>
        <v>0</v>
      </c>
      <c r="H120" s="527">
        <f>+G120/D120*100</f>
        <v>0</v>
      </c>
      <c r="I120" s="17"/>
      <c r="J120" s="8"/>
      <c r="K120" s="9"/>
      <c r="L120" s="10"/>
      <c r="M120" s="415" t="s">
        <v>298</v>
      </c>
      <c r="N120" s="415"/>
      <c r="O120" s="415"/>
      <c r="P120" s="8">
        <f>SUM(P121)</f>
        <v>100000</v>
      </c>
      <c r="Q120" s="6" t="s">
        <v>261</v>
      </c>
    </row>
    <row r="121" spans="1:17" ht="15.95" customHeight="1">
      <c r="A121" s="148"/>
      <c r="B121" s="343"/>
      <c r="C121" s="511"/>
      <c r="D121" s="506"/>
      <c r="E121" s="506"/>
      <c r="F121" s="504"/>
      <c r="G121" s="518"/>
      <c r="H121" s="530"/>
      <c r="I121" s="18" t="s">
        <v>222</v>
      </c>
      <c r="J121" s="19">
        <v>10000</v>
      </c>
      <c r="K121" s="20" t="s">
        <v>261</v>
      </c>
      <c r="L121" s="21" t="s">
        <v>277</v>
      </c>
      <c r="M121" s="389">
        <v>10</v>
      </c>
      <c r="N121" s="389" t="s">
        <v>275</v>
      </c>
      <c r="O121" s="22" t="s">
        <v>279</v>
      </c>
      <c r="P121" s="19">
        <f>SUM(J121*M121)</f>
        <v>100000</v>
      </c>
      <c r="Q121" s="23" t="s">
        <v>261</v>
      </c>
    </row>
    <row r="122" spans="1:17" ht="15.95" customHeight="1">
      <c r="A122" s="148"/>
      <c r="B122" s="207"/>
      <c r="C122" s="537" t="s">
        <v>352</v>
      </c>
      <c r="D122" s="497">
        <v>26016</v>
      </c>
      <c r="E122" s="497">
        <f>P122/1000</f>
        <v>26015.999928000001</v>
      </c>
      <c r="F122" s="359"/>
      <c r="G122" s="513">
        <f>E122-D122</f>
        <v>-7.1999998908722773E-5</v>
      </c>
      <c r="H122" s="527">
        <f>G122/D122*100</f>
        <v>-2.7675276333303652E-7</v>
      </c>
      <c r="I122" s="308"/>
      <c r="J122" s="298"/>
      <c r="K122" s="306"/>
      <c r="L122" s="299"/>
      <c r="M122" s="559" t="s">
        <v>298</v>
      </c>
      <c r="N122" s="559"/>
      <c r="O122" s="559"/>
      <c r="P122" s="298">
        <f>SUM(P123:P127)</f>
        <v>26015999.927999999</v>
      </c>
      <c r="Q122" s="16" t="s">
        <v>261</v>
      </c>
    </row>
    <row r="123" spans="1:17" ht="15.95" customHeight="1">
      <c r="A123" s="148"/>
      <c r="B123" s="207"/>
      <c r="C123" s="541"/>
      <c r="D123" s="498"/>
      <c r="E123" s="498"/>
      <c r="F123" s="359"/>
      <c r="G123" s="514"/>
      <c r="H123" s="528"/>
      <c r="I123" s="308" t="s">
        <v>194</v>
      </c>
      <c r="J123" s="298">
        <v>1072285.7139999999</v>
      </c>
      <c r="K123" s="306" t="s">
        <v>261</v>
      </c>
      <c r="L123" s="299" t="s">
        <v>277</v>
      </c>
      <c r="M123" s="390">
        <v>7</v>
      </c>
      <c r="N123" s="390" t="s">
        <v>304</v>
      </c>
      <c r="O123" s="300" t="s">
        <v>279</v>
      </c>
      <c r="P123" s="315">
        <f>SUM(J123*M123)</f>
        <v>7505999.9979999997</v>
      </c>
      <c r="Q123" s="16" t="s">
        <v>261</v>
      </c>
    </row>
    <row r="124" spans="1:17" ht="15.95" customHeight="1">
      <c r="A124" s="148"/>
      <c r="B124" s="207"/>
      <c r="C124" s="541"/>
      <c r="D124" s="498"/>
      <c r="E124" s="498"/>
      <c r="F124" s="359"/>
      <c r="G124" s="514"/>
      <c r="H124" s="528"/>
      <c r="I124" s="308" t="s">
        <v>168</v>
      </c>
      <c r="J124" s="298">
        <v>722857.14</v>
      </c>
      <c r="K124" s="306" t="s">
        <v>261</v>
      </c>
      <c r="L124" s="299" t="s">
        <v>277</v>
      </c>
      <c r="M124" s="390">
        <v>7</v>
      </c>
      <c r="N124" s="390" t="s">
        <v>304</v>
      </c>
      <c r="O124" s="300" t="s">
        <v>279</v>
      </c>
      <c r="P124" s="298">
        <f>SUM(J124*M124)</f>
        <v>5059999.9800000004</v>
      </c>
      <c r="Q124" s="16" t="s">
        <v>261</v>
      </c>
    </row>
    <row r="125" spans="1:17" ht="15.95" customHeight="1">
      <c r="A125" s="148"/>
      <c r="B125" s="207"/>
      <c r="C125" s="541"/>
      <c r="D125" s="498"/>
      <c r="E125" s="498"/>
      <c r="F125" s="359"/>
      <c r="G125" s="514"/>
      <c r="H125" s="528"/>
      <c r="I125" s="308" t="s">
        <v>33</v>
      </c>
      <c r="J125" s="298">
        <v>614285.71</v>
      </c>
      <c r="K125" s="306" t="s">
        <v>261</v>
      </c>
      <c r="L125" s="299" t="s">
        <v>277</v>
      </c>
      <c r="M125" s="390">
        <v>7</v>
      </c>
      <c r="N125" s="390" t="s">
        <v>304</v>
      </c>
      <c r="O125" s="300" t="s">
        <v>279</v>
      </c>
      <c r="P125" s="298">
        <f>SUM(J125*M125)</f>
        <v>4299999.97</v>
      </c>
      <c r="Q125" s="16" t="s">
        <v>261</v>
      </c>
    </row>
    <row r="126" spans="1:17" ht="15.95" customHeight="1">
      <c r="A126" s="148"/>
      <c r="B126" s="207"/>
      <c r="C126" s="541"/>
      <c r="D126" s="498"/>
      <c r="E126" s="498"/>
      <c r="F126" s="359"/>
      <c r="G126" s="514"/>
      <c r="H126" s="528"/>
      <c r="I126" s="308" t="s">
        <v>207</v>
      </c>
      <c r="J126" s="298">
        <v>2900000</v>
      </c>
      <c r="K126" s="306" t="s">
        <v>261</v>
      </c>
      <c r="L126" s="299" t="s">
        <v>277</v>
      </c>
      <c r="M126" s="390">
        <v>1</v>
      </c>
      <c r="N126" s="390" t="s">
        <v>275</v>
      </c>
      <c r="O126" s="300" t="s">
        <v>279</v>
      </c>
      <c r="P126" s="298">
        <f>SUM(J126*M126)</f>
        <v>2900000</v>
      </c>
      <c r="Q126" s="16" t="s">
        <v>261</v>
      </c>
    </row>
    <row r="127" spans="1:17" ht="15.95" customHeight="1">
      <c r="A127" s="148"/>
      <c r="B127" s="207"/>
      <c r="C127" s="542"/>
      <c r="D127" s="506"/>
      <c r="E127" s="506"/>
      <c r="F127" s="359"/>
      <c r="G127" s="518"/>
      <c r="H127" s="530"/>
      <c r="I127" s="308" t="s">
        <v>426</v>
      </c>
      <c r="J127" s="298">
        <v>892857.14</v>
      </c>
      <c r="K127" s="306" t="s">
        <v>261</v>
      </c>
      <c r="L127" s="299" t="s">
        <v>277</v>
      </c>
      <c r="M127" s="390">
        <v>7</v>
      </c>
      <c r="N127" s="390" t="s">
        <v>427</v>
      </c>
      <c r="O127" s="300" t="s">
        <v>279</v>
      </c>
      <c r="P127" s="298">
        <f>SUM(J127*M127)</f>
        <v>6249999.9800000004</v>
      </c>
      <c r="Q127" s="16" t="s">
        <v>261</v>
      </c>
    </row>
    <row r="128" spans="1:17" ht="15.95" customHeight="1">
      <c r="A128" s="148"/>
      <c r="B128" s="207"/>
      <c r="C128" s="537" t="s">
        <v>378</v>
      </c>
      <c r="D128" s="497">
        <v>1400</v>
      </c>
      <c r="E128" s="497">
        <f>P128/1000</f>
        <v>0</v>
      </c>
      <c r="F128" s="495">
        <v>-1</v>
      </c>
      <c r="G128" s="513">
        <f>+E128-D128</f>
        <v>-1400</v>
      </c>
      <c r="H128" s="507">
        <f>+G128/D128*100</f>
        <v>-100</v>
      </c>
      <c r="I128" s="17"/>
      <c r="J128" s="8"/>
      <c r="K128" s="9"/>
      <c r="L128" s="10"/>
      <c r="M128" s="415" t="s">
        <v>298</v>
      </c>
      <c r="N128" s="415"/>
      <c r="O128" s="415"/>
      <c r="P128" s="8">
        <f>SUM(P129:P129)</f>
        <v>0</v>
      </c>
      <c r="Q128" s="6" t="s">
        <v>261</v>
      </c>
    </row>
    <row r="129" spans="1:17" ht="15.95" customHeight="1">
      <c r="A129" s="148"/>
      <c r="B129" s="207"/>
      <c r="C129" s="510"/>
      <c r="D129" s="498"/>
      <c r="E129" s="498"/>
      <c r="F129" s="496"/>
      <c r="G129" s="514"/>
      <c r="H129" s="519"/>
      <c r="I129" s="308" t="s">
        <v>341</v>
      </c>
      <c r="J129" s="298">
        <v>0</v>
      </c>
      <c r="K129" s="306" t="s">
        <v>261</v>
      </c>
      <c r="L129" s="299" t="s">
        <v>277</v>
      </c>
      <c r="M129" s="390">
        <v>1</v>
      </c>
      <c r="N129" s="390" t="s">
        <v>275</v>
      </c>
      <c r="O129" s="300" t="s">
        <v>279</v>
      </c>
      <c r="P129" s="298">
        <f>J129*M129</f>
        <v>0</v>
      </c>
      <c r="Q129" s="16" t="s">
        <v>261</v>
      </c>
    </row>
    <row r="130" spans="1:17" ht="15.95" customHeight="1">
      <c r="A130" s="148"/>
      <c r="B130" s="207"/>
      <c r="C130" s="547" t="s">
        <v>362</v>
      </c>
      <c r="D130" s="533">
        <v>28800</v>
      </c>
      <c r="E130" s="533">
        <f>+P130/1000</f>
        <v>28799.999929999998</v>
      </c>
      <c r="F130" s="531">
        <v>0</v>
      </c>
      <c r="G130" s="521">
        <f>+E130-D130</f>
        <v>-7.0000001869630069E-5</v>
      </c>
      <c r="H130" s="507">
        <f>+G130/D130*100</f>
        <v>-2.4305556204732664E-7</v>
      </c>
      <c r="I130" s="159"/>
      <c r="J130" s="8"/>
      <c r="K130" s="9"/>
      <c r="L130" s="10"/>
      <c r="M130" s="415" t="s">
        <v>298</v>
      </c>
      <c r="N130" s="415"/>
      <c r="O130" s="415"/>
      <c r="P130" s="8">
        <f>SUM(P131:P131)</f>
        <v>28799999.93</v>
      </c>
      <c r="Q130" s="6" t="s">
        <v>261</v>
      </c>
    </row>
    <row r="131" spans="1:17" ht="15.95" customHeight="1">
      <c r="A131" s="148"/>
      <c r="B131" s="207"/>
      <c r="C131" s="548"/>
      <c r="D131" s="533"/>
      <c r="E131" s="533"/>
      <c r="F131" s="531"/>
      <c r="G131" s="521"/>
      <c r="H131" s="519"/>
      <c r="I131" s="160" t="s">
        <v>354</v>
      </c>
      <c r="J131" s="19">
        <v>1515789.47</v>
      </c>
      <c r="K131" s="20" t="s">
        <v>261</v>
      </c>
      <c r="L131" s="21" t="s">
        <v>277</v>
      </c>
      <c r="M131" s="389">
        <v>19</v>
      </c>
      <c r="N131" s="389" t="s">
        <v>275</v>
      </c>
      <c r="O131" s="22" t="s">
        <v>279</v>
      </c>
      <c r="P131" s="19">
        <f>SUM(J131*M131)</f>
        <v>28799999.93</v>
      </c>
      <c r="Q131" s="23" t="s">
        <v>261</v>
      </c>
    </row>
    <row r="132" spans="1:17" ht="15.95" customHeight="1">
      <c r="A132" s="211" t="s">
        <v>306</v>
      </c>
      <c r="B132" s="212" t="s">
        <v>439</v>
      </c>
      <c r="C132" s="566" t="s">
        <v>351</v>
      </c>
      <c r="D132" s="497">
        <v>150000</v>
      </c>
      <c r="E132" s="497">
        <f>P132/1000</f>
        <v>150000</v>
      </c>
      <c r="F132" s="208"/>
      <c r="G132" s="524">
        <f>E132-D132</f>
        <v>0</v>
      </c>
      <c r="H132" s="527">
        <f>+G132/D132*100</f>
        <v>0</v>
      </c>
      <c r="I132" s="209"/>
      <c r="J132" s="9"/>
      <c r="K132" s="9"/>
      <c r="L132" s="9"/>
      <c r="M132" s="415" t="s">
        <v>298</v>
      </c>
      <c r="N132" s="415"/>
      <c r="O132" s="415"/>
      <c r="P132" s="5">
        <f>SUM(P133:P137)</f>
        <v>150000000</v>
      </c>
      <c r="Q132" s="6" t="s">
        <v>261</v>
      </c>
    </row>
    <row r="133" spans="1:17" ht="15.95" customHeight="1">
      <c r="A133" s="197"/>
      <c r="B133" s="212" t="s">
        <v>438</v>
      </c>
      <c r="C133" s="575"/>
      <c r="D133" s="498"/>
      <c r="E133" s="498"/>
      <c r="F133" s="210"/>
      <c r="G133" s="523"/>
      <c r="H133" s="528"/>
      <c r="I133" s="164" t="s">
        <v>357</v>
      </c>
      <c r="J133" s="298">
        <v>2000000</v>
      </c>
      <c r="K133" s="306" t="s">
        <v>261</v>
      </c>
      <c r="L133" s="299" t="s">
        <v>277</v>
      </c>
      <c r="M133" s="390">
        <v>15</v>
      </c>
      <c r="N133" s="390" t="s">
        <v>275</v>
      </c>
      <c r="O133" s="300" t="s">
        <v>279</v>
      </c>
      <c r="P133" s="298">
        <f>SUM(J133*M133)</f>
        <v>30000000</v>
      </c>
      <c r="Q133" s="16" t="s">
        <v>261</v>
      </c>
    </row>
    <row r="134" spans="1:17" ht="15.95" customHeight="1">
      <c r="A134" s="148"/>
      <c r="B134" s="343"/>
      <c r="C134" s="575"/>
      <c r="D134" s="498"/>
      <c r="E134" s="498"/>
      <c r="F134" s="210"/>
      <c r="G134" s="523"/>
      <c r="H134" s="528"/>
      <c r="I134" s="164" t="s">
        <v>421</v>
      </c>
      <c r="J134" s="298">
        <v>2000000</v>
      </c>
      <c r="K134" s="306" t="s">
        <v>261</v>
      </c>
      <c r="L134" s="299" t="s">
        <v>277</v>
      </c>
      <c r="M134" s="390">
        <v>20</v>
      </c>
      <c r="N134" s="390" t="s">
        <v>275</v>
      </c>
      <c r="O134" s="300" t="s">
        <v>279</v>
      </c>
      <c r="P134" s="298">
        <f>SUM(J134*M134)</f>
        <v>40000000</v>
      </c>
      <c r="Q134" s="16" t="s">
        <v>261</v>
      </c>
    </row>
    <row r="135" spans="1:17" ht="15.95" customHeight="1">
      <c r="A135" s="148"/>
      <c r="B135" s="343"/>
      <c r="C135" s="575"/>
      <c r="D135" s="498"/>
      <c r="E135" s="498"/>
      <c r="F135" s="210"/>
      <c r="G135" s="523"/>
      <c r="H135" s="528"/>
      <c r="I135" s="306" t="s">
        <v>422</v>
      </c>
      <c r="J135" s="298">
        <v>2000000</v>
      </c>
      <c r="K135" s="306" t="s">
        <v>261</v>
      </c>
      <c r="L135" s="299" t="s">
        <v>277</v>
      </c>
      <c r="M135" s="390">
        <v>10</v>
      </c>
      <c r="N135" s="390" t="s">
        <v>275</v>
      </c>
      <c r="O135" s="300" t="s">
        <v>279</v>
      </c>
      <c r="P135" s="298">
        <f>SUM(J135*M135)</f>
        <v>20000000</v>
      </c>
      <c r="Q135" s="16" t="s">
        <v>261</v>
      </c>
    </row>
    <row r="136" spans="1:17" ht="15.95" customHeight="1">
      <c r="A136" s="148"/>
      <c r="B136" s="343"/>
      <c r="C136" s="575"/>
      <c r="D136" s="498"/>
      <c r="E136" s="498"/>
      <c r="F136" s="210"/>
      <c r="G136" s="523"/>
      <c r="H136" s="528"/>
      <c r="I136" s="306" t="s">
        <v>453</v>
      </c>
      <c r="J136" s="298">
        <v>5000000</v>
      </c>
      <c r="K136" s="306" t="s">
        <v>261</v>
      </c>
      <c r="L136" s="299" t="s">
        <v>277</v>
      </c>
      <c r="M136" s="390">
        <v>2</v>
      </c>
      <c r="N136" s="390" t="s">
        <v>275</v>
      </c>
      <c r="O136" s="300" t="s">
        <v>279</v>
      </c>
      <c r="P136" s="298">
        <v>10000000</v>
      </c>
      <c r="Q136" s="16" t="s">
        <v>261</v>
      </c>
    </row>
    <row r="137" spans="1:17" ht="15.95" customHeight="1">
      <c r="A137" s="148"/>
      <c r="B137" s="343"/>
      <c r="C137" s="567"/>
      <c r="D137" s="506"/>
      <c r="E137" s="506"/>
      <c r="F137" s="210"/>
      <c r="G137" s="525"/>
      <c r="H137" s="530"/>
      <c r="I137" s="306" t="s">
        <v>455</v>
      </c>
      <c r="J137" s="298">
        <v>50000000</v>
      </c>
      <c r="K137" s="306" t="s">
        <v>261</v>
      </c>
      <c r="L137" s="299" t="s">
        <v>277</v>
      </c>
      <c r="M137" s="390">
        <v>1</v>
      </c>
      <c r="N137" s="390" t="s">
        <v>275</v>
      </c>
      <c r="O137" s="300" t="s">
        <v>279</v>
      </c>
      <c r="P137" s="298">
        <v>50000000</v>
      </c>
      <c r="Q137" s="16" t="s">
        <v>261</v>
      </c>
    </row>
    <row r="138" spans="1:17" ht="15.95" customHeight="1">
      <c r="A138" s="148"/>
      <c r="B138" s="207"/>
      <c r="C138" s="537" t="s">
        <v>459</v>
      </c>
      <c r="D138" s="497">
        <v>25000</v>
      </c>
      <c r="E138" s="497">
        <f>P138/1000</f>
        <v>10000</v>
      </c>
      <c r="F138" s="495">
        <v>-1</v>
      </c>
      <c r="G138" s="513">
        <f>+E138-D138</f>
        <v>-15000</v>
      </c>
      <c r="H138" s="527">
        <v>0</v>
      </c>
      <c r="I138" s="17"/>
      <c r="J138" s="8"/>
      <c r="K138" s="9"/>
      <c r="L138" s="10"/>
      <c r="M138" s="415" t="s">
        <v>298</v>
      </c>
      <c r="N138" s="415"/>
      <c r="O138" s="415"/>
      <c r="P138" s="8">
        <f>SUM(P139:P139)</f>
        <v>10000000</v>
      </c>
      <c r="Q138" s="6" t="s">
        <v>261</v>
      </c>
    </row>
    <row r="139" spans="1:17" ht="15.95" customHeight="1">
      <c r="A139" s="148"/>
      <c r="B139" s="207"/>
      <c r="C139" s="510"/>
      <c r="D139" s="498"/>
      <c r="E139" s="498"/>
      <c r="F139" s="496"/>
      <c r="G139" s="514"/>
      <c r="H139" s="528"/>
      <c r="I139" s="308" t="s">
        <v>460</v>
      </c>
      <c r="J139" s="298">
        <v>5000000</v>
      </c>
      <c r="K139" s="306" t="s">
        <v>261</v>
      </c>
      <c r="L139" s="299" t="s">
        <v>277</v>
      </c>
      <c r="M139" s="390">
        <v>2</v>
      </c>
      <c r="N139" s="390" t="s">
        <v>275</v>
      </c>
      <c r="O139" s="300" t="s">
        <v>279</v>
      </c>
      <c r="P139" s="298">
        <f>J139*M139</f>
        <v>10000000</v>
      </c>
      <c r="Q139" s="16" t="s">
        <v>261</v>
      </c>
    </row>
    <row r="140" spans="1:17" ht="15.95" customHeight="1">
      <c r="A140" s="148"/>
      <c r="B140" s="343"/>
      <c r="C140" s="509" t="s">
        <v>75</v>
      </c>
      <c r="D140" s="497">
        <v>28500</v>
      </c>
      <c r="E140" s="497">
        <f>(P140/1000)</f>
        <v>28386.28</v>
      </c>
      <c r="F140" s="357">
        <v>83961</v>
      </c>
      <c r="G140" s="513">
        <f>E140-D140</f>
        <v>-113.72000000000116</v>
      </c>
      <c r="H140" s="522">
        <f>G140/D140*100</f>
        <v>-0.39901754385965316</v>
      </c>
      <c r="I140" s="7"/>
      <c r="J140" s="8"/>
      <c r="K140" s="9"/>
      <c r="L140" s="10"/>
      <c r="M140" s="415" t="s">
        <v>298</v>
      </c>
      <c r="N140" s="415"/>
      <c r="O140" s="415"/>
      <c r="P140" s="8">
        <f>SUM(P141:P142)</f>
        <v>28386280</v>
      </c>
      <c r="Q140" s="6" t="s">
        <v>261</v>
      </c>
    </row>
    <row r="141" spans="1:17" ht="15.95" customHeight="1">
      <c r="A141" s="148"/>
      <c r="B141" s="343"/>
      <c r="C141" s="510"/>
      <c r="D141" s="498"/>
      <c r="E141" s="498"/>
      <c r="F141" s="358"/>
      <c r="G141" s="514"/>
      <c r="H141" s="522"/>
      <c r="I141" s="310" t="s">
        <v>12</v>
      </c>
      <c r="J141" s="298">
        <v>217256</v>
      </c>
      <c r="K141" s="306" t="s">
        <v>261</v>
      </c>
      <c r="L141" s="299" t="s">
        <v>277</v>
      </c>
      <c r="M141" s="390">
        <v>5</v>
      </c>
      <c r="N141" s="390" t="s">
        <v>476</v>
      </c>
      <c r="O141" s="300" t="s">
        <v>285</v>
      </c>
      <c r="P141" s="298">
        <f>J141*M141</f>
        <v>1086280</v>
      </c>
      <c r="Q141" s="16" t="s">
        <v>261</v>
      </c>
    </row>
    <row r="142" spans="1:17" ht="15.95" customHeight="1">
      <c r="A142" s="148"/>
      <c r="B142" s="344"/>
      <c r="C142" s="511"/>
      <c r="D142" s="506"/>
      <c r="E142" s="506"/>
      <c r="F142" s="358"/>
      <c r="G142" s="518"/>
      <c r="H142" s="522"/>
      <c r="I142" s="267" t="s">
        <v>418</v>
      </c>
      <c r="J142" s="19">
        <v>27300000</v>
      </c>
      <c r="K142" s="20" t="s">
        <v>261</v>
      </c>
      <c r="L142" s="21" t="s">
        <v>277</v>
      </c>
      <c r="M142" s="389">
        <v>1</v>
      </c>
      <c r="N142" s="389" t="s">
        <v>275</v>
      </c>
      <c r="O142" s="22" t="s">
        <v>285</v>
      </c>
      <c r="P142" s="19">
        <f>J142*M142</f>
        <v>27300000</v>
      </c>
      <c r="Q142" s="23" t="s">
        <v>261</v>
      </c>
    </row>
    <row r="143" spans="1:17" ht="20.100000000000001" customHeight="1">
      <c r="A143" s="213"/>
      <c r="B143" s="205" t="s">
        <v>201</v>
      </c>
      <c r="C143" s="342" t="s">
        <v>284</v>
      </c>
      <c r="D143" s="391">
        <f>SUM(D144:D157)</f>
        <v>248591</v>
      </c>
      <c r="E143" s="374">
        <f>P143/1000</f>
        <v>73188.899999999994</v>
      </c>
      <c r="F143" s="362">
        <f>SUM(F151:F156)</f>
        <v>4163</v>
      </c>
      <c r="G143" s="391">
        <f>+E143-D143</f>
        <v>-175402.1</v>
      </c>
      <c r="H143" s="376">
        <f>G143/D143*100</f>
        <v>-70.558507749677176</v>
      </c>
      <c r="I143" s="202"/>
      <c r="J143" s="109"/>
      <c r="K143" s="72"/>
      <c r="L143" s="110"/>
      <c r="M143" s="347"/>
      <c r="N143" s="347"/>
      <c r="O143" s="111"/>
      <c r="P143" s="109">
        <f>SUM(P144,P146,P148,P151)</f>
        <v>73188900</v>
      </c>
      <c r="Q143" s="87" t="s">
        <v>261</v>
      </c>
    </row>
    <row r="144" spans="1:17" ht="15.95" customHeight="1">
      <c r="A144" s="211"/>
      <c r="B144" s="198" t="s">
        <v>410</v>
      </c>
      <c r="C144" s="547" t="s">
        <v>411</v>
      </c>
      <c r="D144" s="521">
        <v>6000</v>
      </c>
      <c r="E144" s="533">
        <f>P144/1000</f>
        <v>6000</v>
      </c>
      <c r="F144" s="531">
        <v>-1</v>
      </c>
      <c r="G144" s="521">
        <f>+E144-D144</f>
        <v>0</v>
      </c>
      <c r="H144" s="526">
        <v>0</v>
      </c>
      <c r="I144" s="17"/>
      <c r="J144" s="8"/>
      <c r="K144" s="9"/>
      <c r="L144" s="10"/>
      <c r="M144" s="415" t="s">
        <v>298</v>
      </c>
      <c r="N144" s="415"/>
      <c r="O144" s="415"/>
      <c r="P144" s="8">
        <f>SUM(P145:P145)</f>
        <v>6000000</v>
      </c>
      <c r="Q144" s="6" t="s">
        <v>261</v>
      </c>
    </row>
    <row r="145" spans="1:17" ht="15.95" customHeight="1">
      <c r="A145" s="211"/>
      <c r="B145" s="198"/>
      <c r="C145" s="548"/>
      <c r="D145" s="521"/>
      <c r="E145" s="533"/>
      <c r="F145" s="531"/>
      <c r="G145" s="521"/>
      <c r="H145" s="526"/>
      <c r="I145" s="310" t="s">
        <v>414</v>
      </c>
      <c r="J145" s="298">
        <v>600000</v>
      </c>
      <c r="K145" s="306" t="s">
        <v>261</v>
      </c>
      <c r="L145" s="299" t="s">
        <v>277</v>
      </c>
      <c r="M145" s="390">
        <v>10</v>
      </c>
      <c r="N145" s="390" t="s">
        <v>275</v>
      </c>
      <c r="O145" s="300" t="s">
        <v>279</v>
      </c>
      <c r="P145" s="298">
        <f>J145*M145</f>
        <v>6000000</v>
      </c>
      <c r="Q145" s="16" t="s">
        <v>261</v>
      </c>
    </row>
    <row r="146" spans="1:17" ht="15.95" customHeight="1">
      <c r="A146" s="211"/>
      <c r="B146" s="198"/>
      <c r="C146" s="548" t="s">
        <v>412</v>
      </c>
      <c r="D146" s="521">
        <v>230000</v>
      </c>
      <c r="E146" s="533">
        <f>P146/1000</f>
        <v>60000</v>
      </c>
      <c r="F146" s="362"/>
      <c r="G146" s="521">
        <f>+E146-D146</f>
        <v>-170000</v>
      </c>
      <c r="H146" s="526">
        <f>G146/D146*100</f>
        <v>-73.91304347826086</v>
      </c>
      <c r="I146" s="17"/>
      <c r="J146" s="8"/>
      <c r="K146" s="9"/>
      <c r="L146" s="10"/>
      <c r="M146" s="415" t="s">
        <v>298</v>
      </c>
      <c r="N146" s="415"/>
      <c r="O146" s="415"/>
      <c r="P146" s="8">
        <f>SUM(P147:P147)</f>
        <v>60000000</v>
      </c>
      <c r="Q146" s="6" t="s">
        <v>261</v>
      </c>
    </row>
    <row r="147" spans="1:17" ht="15.95" customHeight="1">
      <c r="A147" s="211"/>
      <c r="B147" s="198"/>
      <c r="C147" s="548"/>
      <c r="D147" s="521"/>
      <c r="E147" s="533"/>
      <c r="F147" s="362"/>
      <c r="G147" s="521"/>
      <c r="H147" s="526"/>
      <c r="I147" s="308" t="s">
        <v>412</v>
      </c>
      <c r="J147" s="298">
        <v>5000000</v>
      </c>
      <c r="K147" s="306" t="s">
        <v>261</v>
      </c>
      <c r="L147" s="299" t="s">
        <v>277</v>
      </c>
      <c r="M147" s="390">
        <v>12</v>
      </c>
      <c r="N147" s="390" t="s">
        <v>476</v>
      </c>
      <c r="O147" s="300" t="s">
        <v>279</v>
      </c>
      <c r="P147" s="298">
        <f>J147*M147</f>
        <v>60000000</v>
      </c>
      <c r="Q147" s="16" t="s">
        <v>261</v>
      </c>
    </row>
    <row r="148" spans="1:17" ht="15.95" customHeight="1">
      <c r="A148" s="211"/>
      <c r="B148" s="198"/>
      <c r="C148" s="547" t="s">
        <v>413</v>
      </c>
      <c r="D148" s="521">
        <v>1891</v>
      </c>
      <c r="E148" s="533">
        <f>P148/1000</f>
        <v>2130</v>
      </c>
      <c r="F148" s="362"/>
      <c r="G148" s="521">
        <f>E148-D148</f>
        <v>239</v>
      </c>
      <c r="H148" s="526">
        <f>G148/D148*100</f>
        <v>12.63881544156531</v>
      </c>
      <c r="I148" s="17"/>
      <c r="J148" s="8"/>
      <c r="K148" s="9"/>
      <c r="L148" s="10"/>
      <c r="M148" s="415" t="s">
        <v>298</v>
      </c>
      <c r="N148" s="415"/>
      <c r="O148" s="415"/>
      <c r="P148" s="8">
        <f>SUM(P149:P150)</f>
        <v>2130000</v>
      </c>
      <c r="Q148" s="6" t="s">
        <v>261</v>
      </c>
    </row>
    <row r="149" spans="1:17" ht="15.95" customHeight="1">
      <c r="A149" s="211"/>
      <c r="B149" s="198"/>
      <c r="C149" s="547"/>
      <c r="D149" s="521"/>
      <c r="E149" s="533"/>
      <c r="F149" s="362"/>
      <c r="G149" s="521"/>
      <c r="H149" s="526"/>
      <c r="I149" s="314" t="s">
        <v>446</v>
      </c>
      <c r="J149" s="298">
        <v>110000</v>
      </c>
      <c r="K149" s="306" t="s">
        <v>261</v>
      </c>
      <c r="L149" s="299" t="s">
        <v>277</v>
      </c>
      <c r="M149" s="390">
        <v>3</v>
      </c>
      <c r="N149" s="390" t="s">
        <v>275</v>
      </c>
      <c r="O149" s="390"/>
      <c r="P149" s="298">
        <f>SUM(J149*M149)</f>
        <v>330000</v>
      </c>
      <c r="Q149" s="16" t="s">
        <v>261</v>
      </c>
    </row>
    <row r="150" spans="1:17" ht="15.95" customHeight="1">
      <c r="A150" s="211"/>
      <c r="B150" s="198"/>
      <c r="C150" s="547"/>
      <c r="D150" s="521"/>
      <c r="E150" s="533"/>
      <c r="F150" s="362"/>
      <c r="G150" s="521"/>
      <c r="H150" s="526"/>
      <c r="I150" s="308" t="s">
        <v>415</v>
      </c>
      <c r="J150" s="19">
        <v>200000</v>
      </c>
      <c r="K150" s="20" t="s">
        <v>261</v>
      </c>
      <c r="L150" s="21" t="s">
        <v>277</v>
      </c>
      <c r="M150" s="389">
        <v>9</v>
      </c>
      <c r="N150" s="389" t="s">
        <v>275</v>
      </c>
      <c r="O150" s="389"/>
      <c r="P150" s="19">
        <f>SUM(J150*M150)</f>
        <v>1800000</v>
      </c>
      <c r="Q150" s="23" t="s">
        <v>261</v>
      </c>
    </row>
    <row r="151" spans="1:17" ht="15.95" customHeight="1">
      <c r="A151" s="148"/>
      <c r="B151" s="198"/>
      <c r="C151" s="537" t="s">
        <v>419</v>
      </c>
      <c r="D151" s="513">
        <v>10700</v>
      </c>
      <c r="E151" s="497">
        <f>+P151/1000</f>
        <v>5058.8999999999996</v>
      </c>
      <c r="F151" s="495">
        <v>4163</v>
      </c>
      <c r="G151" s="513">
        <f>+E151-D151</f>
        <v>-5641.1</v>
      </c>
      <c r="H151" s="527">
        <f>G151/D151*100</f>
        <v>-52.720560747663555</v>
      </c>
      <c r="I151" s="59"/>
      <c r="J151" s="8"/>
      <c r="K151" s="9"/>
      <c r="L151" s="10"/>
      <c r="M151" s="415" t="s">
        <v>298</v>
      </c>
      <c r="N151" s="415"/>
      <c r="O151" s="415"/>
      <c r="P151" s="8">
        <f>SUM(P152,P157)</f>
        <v>5058900</v>
      </c>
      <c r="Q151" s="6" t="s">
        <v>261</v>
      </c>
    </row>
    <row r="152" spans="1:17" ht="15.95" customHeight="1">
      <c r="A152" s="148"/>
      <c r="B152" s="352"/>
      <c r="C152" s="541"/>
      <c r="D152" s="514"/>
      <c r="E152" s="498"/>
      <c r="F152" s="496"/>
      <c r="G152" s="514"/>
      <c r="H152" s="528"/>
      <c r="I152" s="268" t="s">
        <v>149</v>
      </c>
      <c r="J152" s="316"/>
      <c r="K152" s="317"/>
      <c r="L152" s="318"/>
      <c r="M152" s="319"/>
      <c r="N152" s="319"/>
      <c r="O152" s="320"/>
      <c r="P152" s="298">
        <f>SUM(P153:P156)</f>
        <v>4958900</v>
      </c>
      <c r="Q152" s="16" t="s">
        <v>261</v>
      </c>
    </row>
    <row r="153" spans="1:17" ht="15.95" customHeight="1">
      <c r="A153" s="148"/>
      <c r="B153" s="343"/>
      <c r="C153" s="541"/>
      <c r="D153" s="514"/>
      <c r="E153" s="498"/>
      <c r="F153" s="496"/>
      <c r="G153" s="514"/>
      <c r="H153" s="528"/>
      <c r="I153" s="64" t="s">
        <v>22</v>
      </c>
      <c r="J153" s="298">
        <v>405900</v>
      </c>
      <c r="K153" s="306" t="s">
        <v>261</v>
      </c>
      <c r="L153" s="299" t="s">
        <v>277</v>
      </c>
      <c r="M153" s="390">
        <v>1</v>
      </c>
      <c r="N153" s="390" t="s">
        <v>471</v>
      </c>
      <c r="O153" s="300" t="s">
        <v>279</v>
      </c>
      <c r="P153" s="298">
        <f t="shared" ref="P153:P157" si="8">SUM(J153*M153)</f>
        <v>405900</v>
      </c>
      <c r="Q153" s="16" t="s">
        <v>261</v>
      </c>
    </row>
    <row r="154" spans="1:17" ht="15.95" customHeight="1">
      <c r="A154" s="148"/>
      <c r="B154" s="343"/>
      <c r="C154" s="541"/>
      <c r="D154" s="514"/>
      <c r="E154" s="498"/>
      <c r="F154" s="496"/>
      <c r="G154" s="514"/>
      <c r="H154" s="528"/>
      <c r="I154" s="64" t="s">
        <v>220</v>
      </c>
      <c r="J154" s="298">
        <v>3616200</v>
      </c>
      <c r="K154" s="306" t="s">
        <v>261</v>
      </c>
      <c r="L154" s="299" t="s">
        <v>277</v>
      </c>
      <c r="M154" s="390">
        <v>1</v>
      </c>
      <c r="N154" s="390" t="s">
        <v>275</v>
      </c>
      <c r="O154" s="300" t="s">
        <v>279</v>
      </c>
      <c r="P154" s="298">
        <f t="shared" si="8"/>
        <v>3616200</v>
      </c>
      <c r="Q154" s="16" t="s">
        <v>261</v>
      </c>
    </row>
    <row r="155" spans="1:17" ht="15.95" customHeight="1">
      <c r="A155" s="197"/>
      <c r="B155" s="212"/>
      <c r="C155" s="541"/>
      <c r="D155" s="514"/>
      <c r="E155" s="498"/>
      <c r="F155" s="496"/>
      <c r="G155" s="514"/>
      <c r="H155" s="528"/>
      <c r="I155" s="161" t="s">
        <v>346</v>
      </c>
      <c r="J155" s="298">
        <v>536800</v>
      </c>
      <c r="K155" s="306" t="s">
        <v>261</v>
      </c>
      <c r="L155" s="299" t="s">
        <v>277</v>
      </c>
      <c r="M155" s="390">
        <v>1</v>
      </c>
      <c r="N155" s="390" t="s">
        <v>275</v>
      </c>
      <c r="O155" s="300"/>
      <c r="P155" s="298">
        <f t="shared" si="8"/>
        <v>536800</v>
      </c>
      <c r="Q155" s="16" t="s">
        <v>261</v>
      </c>
    </row>
    <row r="156" spans="1:17" ht="15.95" customHeight="1">
      <c r="A156" s="148"/>
      <c r="B156" s="343"/>
      <c r="C156" s="541"/>
      <c r="D156" s="514"/>
      <c r="E156" s="498"/>
      <c r="F156" s="496"/>
      <c r="G156" s="514"/>
      <c r="H156" s="528"/>
      <c r="I156" s="345" t="s">
        <v>361</v>
      </c>
      <c r="J156" s="298">
        <v>100000</v>
      </c>
      <c r="K156" s="306" t="s">
        <v>261</v>
      </c>
      <c r="L156" s="299" t="s">
        <v>277</v>
      </c>
      <c r="M156" s="390">
        <v>4</v>
      </c>
      <c r="N156" s="390" t="s">
        <v>275</v>
      </c>
      <c r="O156" s="390"/>
      <c r="P156" s="298">
        <f t="shared" si="8"/>
        <v>400000</v>
      </c>
      <c r="Q156" s="16" t="s">
        <v>261</v>
      </c>
    </row>
    <row r="157" spans="1:17" ht="15.95" customHeight="1">
      <c r="A157" s="148"/>
      <c r="B157" s="343"/>
      <c r="C157" s="541"/>
      <c r="D157" s="514"/>
      <c r="E157" s="498"/>
      <c r="F157" s="359"/>
      <c r="G157" s="514"/>
      <c r="H157" s="528"/>
      <c r="I157" s="604" t="s">
        <v>416</v>
      </c>
      <c r="J157" s="298">
        <v>100000</v>
      </c>
      <c r="K157" s="306" t="s">
        <v>261</v>
      </c>
      <c r="L157" s="299" t="s">
        <v>277</v>
      </c>
      <c r="M157" s="390">
        <v>1</v>
      </c>
      <c r="N157" s="390" t="s">
        <v>275</v>
      </c>
      <c r="O157" s="390"/>
      <c r="P157" s="298">
        <f t="shared" si="8"/>
        <v>100000</v>
      </c>
      <c r="Q157" s="16" t="s">
        <v>261</v>
      </c>
    </row>
    <row r="158" spans="1:17" ht="20.100000000000001" customHeight="1">
      <c r="A158" s="213"/>
      <c r="B158" s="205" t="s">
        <v>201</v>
      </c>
      <c r="C158" s="387" t="s">
        <v>417</v>
      </c>
      <c r="D158" s="363">
        <f>SUM(D159:D163)</f>
        <v>195680</v>
      </c>
      <c r="E158" s="363">
        <f>SUM(E159:E163)</f>
        <v>265880</v>
      </c>
      <c r="F158" s="357"/>
      <c r="G158" s="364">
        <f>E158-D158</f>
        <v>70200</v>
      </c>
      <c r="H158" s="392">
        <f>G158/D158*100</f>
        <v>35.87489779231398</v>
      </c>
      <c r="I158" s="257"/>
      <c r="J158" s="258"/>
      <c r="K158" s="72"/>
      <c r="L158" s="110"/>
      <c r="M158" s="347"/>
      <c r="N158" s="347"/>
      <c r="O158" s="347"/>
      <c r="P158" s="258">
        <f>SUM(P159,P162)</f>
        <v>265880000</v>
      </c>
      <c r="Q158" s="16" t="s">
        <v>261</v>
      </c>
    </row>
    <row r="159" spans="1:17" ht="16.5" customHeight="1">
      <c r="A159" s="213"/>
      <c r="B159" s="198" t="s">
        <v>157</v>
      </c>
      <c r="C159" s="548" t="s">
        <v>192</v>
      </c>
      <c r="D159" s="533">
        <v>70680</v>
      </c>
      <c r="E159" s="533">
        <f>P159/1000</f>
        <v>100880</v>
      </c>
      <c r="F159" s="531">
        <v>80151</v>
      </c>
      <c r="G159" s="521">
        <f>+E159-D159</f>
        <v>30200</v>
      </c>
      <c r="H159" s="522">
        <f>+G159/D159*100</f>
        <v>42.727787209960383</v>
      </c>
      <c r="I159" s="59"/>
      <c r="J159" s="8"/>
      <c r="K159" s="9"/>
      <c r="L159" s="10"/>
      <c r="M159" s="415" t="s">
        <v>298</v>
      </c>
      <c r="N159" s="415"/>
      <c r="O159" s="415"/>
      <c r="P159" s="8">
        <f>SUM(P160:P161)</f>
        <v>100880000</v>
      </c>
      <c r="Q159" s="6" t="s">
        <v>261</v>
      </c>
    </row>
    <row r="160" spans="1:17" ht="16.5" customHeight="1">
      <c r="A160" s="148"/>
      <c r="B160" s="343"/>
      <c r="C160" s="548"/>
      <c r="D160" s="533"/>
      <c r="E160" s="533"/>
      <c r="F160" s="531"/>
      <c r="G160" s="521"/>
      <c r="H160" s="522"/>
      <c r="I160" s="312" t="s">
        <v>248</v>
      </c>
      <c r="J160" s="298">
        <v>880000</v>
      </c>
      <c r="K160" s="306" t="s">
        <v>261</v>
      </c>
      <c r="L160" s="299" t="s">
        <v>277</v>
      </c>
      <c r="M160" s="390">
        <v>1</v>
      </c>
      <c r="N160" s="390" t="s">
        <v>275</v>
      </c>
      <c r="O160" s="300" t="s">
        <v>279</v>
      </c>
      <c r="P160" s="298">
        <f>SUM(J160*M160)</f>
        <v>880000</v>
      </c>
      <c r="Q160" s="16" t="s">
        <v>261</v>
      </c>
    </row>
    <row r="161" spans="1:17" ht="16.5" customHeight="1">
      <c r="A161" s="148"/>
      <c r="B161" s="343"/>
      <c r="C161" s="548"/>
      <c r="D161" s="533"/>
      <c r="E161" s="533"/>
      <c r="F161" s="531"/>
      <c r="G161" s="521"/>
      <c r="H161" s="507"/>
      <c r="I161" s="605" t="s">
        <v>195</v>
      </c>
      <c r="J161" s="19">
        <v>25000000</v>
      </c>
      <c r="K161" s="20" t="s">
        <v>261</v>
      </c>
      <c r="L161" s="21" t="s">
        <v>277</v>
      </c>
      <c r="M161" s="389">
        <v>4</v>
      </c>
      <c r="N161" s="389" t="s">
        <v>275</v>
      </c>
      <c r="O161" s="22" t="s">
        <v>279</v>
      </c>
      <c r="P161" s="19">
        <f>SUM(J161*M161)</f>
        <v>100000000</v>
      </c>
      <c r="Q161" s="23" t="s">
        <v>261</v>
      </c>
    </row>
    <row r="162" spans="1:17" ht="15.95" customHeight="1">
      <c r="A162" s="197"/>
      <c r="B162" s="352"/>
      <c r="C162" s="566" t="s">
        <v>247</v>
      </c>
      <c r="D162" s="533">
        <v>125000</v>
      </c>
      <c r="E162" s="533">
        <f>+P162/1000</f>
        <v>165000</v>
      </c>
      <c r="F162" s="362"/>
      <c r="G162" s="591">
        <f>+E162-D162</f>
        <v>40000</v>
      </c>
      <c r="H162" s="507">
        <f>+G162/D162*100</f>
        <v>32</v>
      </c>
      <c r="I162" s="17"/>
      <c r="J162" s="8"/>
      <c r="K162" s="9"/>
      <c r="L162" s="10"/>
      <c r="M162" s="415" t="s">
        <v>298</v>
      </c>
      <c r="N162" s="415"/>
      <c r="O162" s="415"/>
      <c r="P162" s="8">
        <f>SUM(P163:P163)</f>
        <v>165000000</v>
      </c>
      <c r="Q162" s="6" t="s">
        <v>261</v>
      </c>
    </row>
    <row r="163" spans="1:17" ht="15.95" customHeight="1">
      <c r="A163" s="211"/>
      <c r="B163" s="78"/>
      <c r="C163" s="567"/>
      <c r="D163" s="533"/>
      <c r="E163" s="533"/>
      <c r="F163" s="362"/>
      <c r="G163" s="591"/>
      <c r="H163" s="519"/>
      <c r="I163" s="18" t="s">
        <v>247</v>
      </c>
      <c r="J163" s="19">
        <v>16500000</v>
      </c>
      <c r="K163" s="20" t="s">
        <v>261</v>
      </c>
      <c r="L163" s="21" t="s">
        <v>277</v>
      </c>
      <c r="M163" s="389">
        <v>10</v>
      </c>
      <c r="N163" s="389" t="s">
        <v>275</v>
      </c>
      <c r="O163" s="22" t="s">
        <v>279</v>
      </c>
      <c r="P163" s="19">
        <f>J163*M163</f>
        <v>165000000</v>
      </c>
      <c r="Q163" s="23" t="s">
        <v>261</v>
      </c>
    </row>
    <row r="164" spans="1:17" ht="20.100000000000001" customHeight="1">
      <c r="A164" s="214"/>
      <c r="B164" s="51" t="s">
        <v>41</v>
      </c>
      <c r="C164" s="382" t="s">
        <v>284</v>
      </c>
      <c r="D164" s="371">
        <f>+D165+D169+D173</f>
        <v>19570</v>
      </c>
      <c r="E164" s="371">
        <f>SUM(E165:E174)</f>
        <v>13802</v>
      </c>
      <c r="F164" s="357" t="e">
        <f>+#REF!+F165+#REF!+#REF!+F173</f>
        <v>#REF!</v>
      </c>
      <c r="G164" s="367">
        <f t="shared" ref="G164:G166" si="9">+E164-D164</f>
        <v>-5768</v>
      </c>
      <c r="H164" s="365">
        <f>+G164/D164*100</f>
        <v>-29.473684210526311</v>
      </c>
      <c r="I164" s="17"/>
      <c r="J164" s="60"/>
      <c r="K164" s="9"/>
      <c r="L164" s="10"/>
      <c r="M164" s="339"/>
      <c r="N164" s="339"/>
      <c r="O164" s="112"/>
      <c r="P164" s="60">
        <f>SUM(P165,P169,P173)</f>
        <v>13802000</v>
      </c>
      <c r="Q164" s="6" t="s">
        <v>261</v>
      </c>
    </row>
    <row r="165" spans="1:17" ht="15.95" customHeight="1">
      <c r="A165" s="148"/>
      <c r="B165" s="343"/>
      <c r="C165" s="565" t="s">
        <v>70</v>
      </c>
      <c r="D165" s="497">
        <v>7270</v>
      </c>
      <c r="E165" s="497">
        <f>P165/1000</f>
        <v>5202</v>
      </c>
      <c r="F165" s="495">
        <v>14521</v>
      </c>
      <c r="G165" s="513">
        <f t="shared" si="9"/>
        <v>-2068</v>
      </c>
      <c r="H165" s="507">
        <f>+G165/D165*100</f>
        <v>-28.445667125171941</v>
      </c>
      <c r="I165" s="17"/>
      <c r="J165" s="8"/>
      <c r="K165" s="9"/>
      <c r="L165" s="10"/>
      <c r="M165" s="415" t="s">
        <v>298</v>
      </c>
      <c r="N165" s="415"/>
      <c r="O165" s="415"/>
      <c r="P165" s="8">
        <f>SUM(P166:P168)</f>
        <v>5202000</v>
      </c>
      <c r="Q165" s="6" t="s">
        <v>261</v>
      </c>
    </row>
    <row r="166" spans="1:17" ht="15.95" customHeight="1">
      <c r="A166" s="148"/>
      <c r="B166" s="343"/>
      <c r="C166" s="540"/>
      <c r="D166" s="498"/>
      <c r="E166" s="498"/>
      <c r="F166" s="496"/>
      <c r="G166" s="514">
        <f t="shared" si="9"/>
        <v>0</v>
      </c>
      <c r="H166" s="508" t="e">
        <f>+G166/D166*100</f>
        <v>#DIV/0!</v>
      </c>
      <c r="I166" s="314" t="s">
        <v>367</v>
      </c>
      <c r="J166" s="298">
        <v>201232</v>
      </c>
      <c r="K166" s="306" t="s">
        <v>261</v>
      </c>
      <c r="L166" s="299" t="s">
        <v>277</v>
      </c>
      <c r="M166" s="390">
        <v>1</v>
      </c>
      <c r="N166" s="390" t="s">
        <v>275</v>
      </c>
      <c r="O166" s="300" t="s">
        <v>279</v>
      </c>
      <c r="P166" s="298">
        <v>202000</v>
      </c>
      <c r="Q166" s="16" t="s">
        <v>261</v>
      </c>
    </row>
    <row r="167" spans="1:17" ht="15.95" customHeight="1">
      <c r="A167" s="148"/>
      <c r="B167" s="343"/>
      <c r="C167" s="540"/>
      <c r="D167" s="498"/>
      <c r="E167" s="498"/>
      <c r="F167" s="496"/>
      <c r="G167" s="514"/>
      <c r="H167" s="508"/>
      <c r="I167" s="314" t="s">
        <v>34</v>
      </c>
      <c r="J167" s="298">
        <v>0</v>
      </c>
      <c r="K167" s="306" t="s">
        <v>261</v>
      </c>
      <c r="L167" s="299" t="s">
        <v>277</v>
      </c>
      <c r="M167" s="390">
        <v>1</v>
      </c>
      <c r="N167" s="390" t="s">
        <v>275</v>
      </c>
      <c r="O167" s="300" t="s">
        <v>279</v>
      </c>
      <c r="P167" s="298">
        <f>SUM(J167*M167)</f>
        <v>0</v>
      </c>
      <c r="Q167" s="16" t="s">
        <v>261</v>
      </c>
    </row>
    <row r="168" spans="1:17" ht="15.95" customHeight="1">
      <c r="A168" s="148"/>
      <c r="B168" s="343"/>
      <c r="C168" s="540"/>
      <c r="D168" s="498"/>
      <c r="E168" s="498"/>
      <c r="F168" s="496"/>
      <c r="G168" s="514"/>
      <c r="H168" s="508"/>
      <c r="I168" s="314" t="s">
        <v>210</v>
      </c>
      <c r="J168" s="298">
        <v>5000000</v>
      </c>
      <c r="K168" s="306" t="s">
        <v>261</v>
      </c>
      <c r="L168" s="299" t="s">
        <v>277</v>
      </c>
      <c r="M168" s="390">
        <v>1</v>
      </c>
      <c r="N168" s="390" t="s">
        <v>275</v>
      </c>
      <c r="O168" s="300" t="s">
        <v>279</v>
      </c>
      <c r="P168" s="298">
        <f>SUM(J168*M168)</f>
        <v>5000000</v>
      </c>
      <c r="Q168" s="16" t="s">
        <v>261</v>
      </c>
    </row>
    <row r="169" spans="1:17" ht="15.95" customHeight="1">
      <c r="A169" s="148"/>
      <c r="B169" s="343"/>
      <c r="C169" s="537" t="s">
        <v>368</v>
      </c>
      <c r="D169" s="497">
        <v>12100</v>
      </c>
      <c r="E169" s="497">
        <f>P169/1000</f>
        <v>8200</v>
      </c>
      <c r="F169" s="357"/>
      <c r="G169" s="513">
        <f>E169-D169</f>
        <v>-3900</v>
      </c>
      <c r="H169" s="507">
        <f>+G169/D169*100</f>
        <v>-32.231404958677686</v>
      </c>
      <c r="I169" s="7"/>
      <c r="J169" s="8"/>
      <c r="K169" s="9"/>
      <c r="L169" s="10"/>
      <c r="M169" s="415" t="s">
        <v>298</v>
      </c>
      <c r="N169" s="415"/>
      <c r="O169" s="415"/>
      <c r="P169" s="8">
        <f>SUM(P170:P172)</f>
        <v>8200000</v>
      </c>
      <c r="Q169" s="6" t="s">
        <v>261</v>
      </c>
    </row>
    <row r="170" spans="1:17" ht="15.95" customHeight="1">
      <c r="A170" s="148"/>
      <c r="B170" s="343"/>
      <c r="C170" s="510"/>
      <c r="D170" s="498"/>
      <c r="E170" s="498"/>
      <c r="F170" s="359"/>
      <c r="G170" s="514"/>
      <c r="H170" s="508" t="e">
        <f>+G170/D170*100</f>
        <v>#DIV/0!</v>
      </c>
      <c r="I170" s="314" t="s">
        <v>431</v>
      </c>
      <c r="J170" s="298">
        <v>5060000</v>
      </c>
      <c r="K170" s="306" t="s">
        <v>261</v>
      </c>
      <c r="L170" s="299" t="s">
        <v>277</v>
      </c>
      <c r="M170" s="390">
        <v>1</v>
      </c>
      <c r="N170" s="390" t="s">
        <v>275</v>
      </c>
      <c r="O170" s="300" t="s">
        <v>279</v>
      </c>
      <c r="P170" s="298">
        <f>SUM(J170*M170)</f>
        <v>5060000</v>
      </c>
      <c r="Q170" s="16" t="s">
        <v>261</v>
      </c>
    </row>
    <row r="171" spans="1:17" ht="15.95" customHeight="1">
      <c r="A171" s="148"/>
      <c r="B171" s="343"/>
      <c r="C171" s="510"/>
      <c r="D171" s="498"/>
      <c r="E171" s="498"/>
      <c r="F171" s="359"/>
      <c r="G171" s="514"/>
      <c r="H171" s="508"/>
      <c r="I171" s="314" t="s">
        <v>432</v>
      </c>
      <c r="J171" s="298">
        <v>600000</v>
      </c>
      <c r="K171" s="306" t="s">
        <v>261</v>
      </c>
      <c r="L171" s="299" t="s">
        <v>277</v>
      </c>
      <c r="M171" s="390">
        <v>1</v>
      </c>
      <c r="N171" s="390" t="s">
        <v>275</v>
      </c>
      <c r="O171" s="300" t="s">
        <v>279</v>
      </c>
      <c r="P171" s="298">
        <f>SUM(J171*M171)</f>
        <v>600000</v>
      </c>
      <c r="Q171" s="16" t="s">
        <v>261</v>
      </c>
    </row>
    <row r="172" spans="1:17" ht="15.95" customHeight="1">
      <c r="A172" s="148"/>
      <c r="B172" s="343"/>
      <c r="C172" s="511"/>
      <c r="D172" s="506"/>
      <c r="E172" s="506"/>
      <c r="F172" s="358"/>
      <c r="G172" s="518"/>
      <c r="H172" s="508"/>
      <c r="I172" s="266" t="s">
        <v>433</v>
      </c>
      <c r="J172" s="298">
        <v>2540000</v>
      </c>
      <c r="K172" s="306" t="s">
        <v>261</v>
      </c>
      <c r="L172" s="299" t="s">
        <v>277</v>
      </c>
      <c r="M172" s="390">
        <v>1</v>
      </c>
      <c r="N172" s="390" t="s">
        <v>275</v>
      </c>
      <c r="O172" s="300" t="s">
        <v>279</v>
      </c>
      <c r="P172" s="298">
        <f>SUM(J172*M172)</f>
        <v>2540000</v>
      </c>
      <c r="Q172" s="16" t="s">
        <v>261</v>
      </c>
    </row>
    <row r="173" spans="1:17" ht="15.95" customHeight="1">
      <c r="A173" s="148"/>
      <c r="B173" s="343"/>
      <c r="C173" s="538" t="s">
        <v>123</v>
      </c>
      <c r="D173" s="497">
        <v>200</v>
      </c>
      <c r="E173" s="497">
        <f>+P173/1000</f>
        <v>400</v>
      </c>
      <c r="F173" s="495">
        <v>346</v>
      </c>
      <c r="G173" s="513">
        <f>+E173-D173</f>
        <v>200</v>
      </c>
      <c r="H173" s="507">
        <v>0</v>
      </c>
      <c r="I173" s="17"/>
      <c r="J173" s="8"/>
      <c r="K173" s="9"/>
      <c r="L173" s="10"/>
      <c r="M173" s="415" t="s">
        <v>298</v>
      </c>
      <c r="N173" s="415"/>
      <c r="O173" s="415"/>
      <c r="P173" s="8">
        <f>SUM(P174:P174)</f>
        <v>400000</v>
      </c>
      <c r="Q173" s="6" t="s">
        <v>261</v>
      </c>
    </row>
    <row r="174" spans="1:17" ht="19.5" customHeight="1">
      <c r="A174" s="148"/>
      <c r="B174" s="344"/>
      <c r="C174" s="539"/>
      <c r="D174" s="506"/>
      <c r="E174" s="506"/>
      <c r="F174" s="504"/>
      <c r="G174" s="518"/>
      <c r="H174" s="519"/>
      <c r="I174" s="18" t="s">
        <v>123</v>
      </c>
      <c r="J174" s="19">
        <v>200000</v>
      </c>
      <c r="K174" s="20" t="s">
        <v>261</v>
      </c>
      <c r="L174" s="21" t="s">
        <v>277</v>
      </c>
      <c r="M174" s="389">
        <v>2</v>
      </c>
      <c r="N174" s="389" t="s">
        <v>275</v>
      </c>
      <c r="O174" s="22" t="s">
        <v>279</v>
      </c>
      <c r="P174" s="19">
        <f>SUM(J174*M174)</f>
        <v>400000</v>
      </c>
      <c r="Q174" s="23" t="s">
        <v>261</v>
      </c>
    </row>
    <row r="175" spans="1:17" ht="20.100000000000001" customHeight="1">
      <c r="A175" s="214" t="s">
        <v>306</v>
      </c>
      <c r="B175" s="51" t="s">
        <v>184</v>
      </c>
      <c r="C175" s="382" t="s">
        <v>284</v>
      </c>
      <c r="D175" s="371">
        <f>SUM(D176:D176:D180)</f>
        <v>5500</v>
      </c>
      <c r="E175" s="371">
        <f>SUM(E176:E178)</f>
        <v>8341</v>
      </c>
      <c r="F175" s="357">
        <f>SUM(F176:F185)</f>
        <v>16820</v>
      </c>
      <c r="G175" s="367">
        <f>+E175-D175</f>
        <v>2841</v>
      </c>
      <c r="H175" s="365">
        <f>+G175/D175*100</f>
        <v>51.654545454545456</v>
      </c>
      <c r="I175" s="202"/>
      <c r="J175" s="109"/>
      <c r="K175" s="72"/>
      <c r="L175" s="110"/>
      <c r="M175" s="347"/>
      <c r="N175" s="347"/>
      <c r="O175" s="111"/>
      <c r="P175" s="109">
        <f>SUM(P176,P178)</f>
        <v>8341000</v>
      </c>
      <c r="Q175" s="87" t="s">
        <v>261</v>
      </c>
    </row>
    <row r="176" spans="1:17" ht="15.95" customHeight="1">
      <c r="A176" s="148"/>
      <c r="B176" s="343"/>
      <c r="C176" s="538" t="s">
        <v>164</v>
      </c>
      <c r="D176" s="513">
        <v>0</v>
      </c>
      <c r="E176" s="563">
        <v>0</v>
      </c>
      <c r="F176" s="495">
        <v>300</v>
      </c>
      <c r="G176" s="513">
        <f>+E176-D176</f>
        <v>0</v>
      </c>
      <c r="H176" s="527">
        <v>0</v>
      </c>
      <c r="I176" s="17"/>
      <c r="J176" s="60"/>
      <c r="K176" s="9"/>
      <c r="L176" s="10"/>
      <c r="M176" s="415" t="s">
        <v>298</v>
      </c>
      <c r="N176" s="415"/>
      <c r="O176" s="415"/>
      <c r="P176" s="60">
        <f>SUM(P177:P177)</f>
        <v>0</v>
      </c>
      <c r="Q176" s="6" t="s">
        <v>261</v>
      </c>
    </row>
    <row r="177" spans="1:31" ht="15.95" customHeight="1">
      <c r="A177" s="148"/>
      <c r="B177" s="343"/>
      <c r="C177" s="540"/>
      <c r="D177" s="514"/>
      <c r="E177" s="564"/>
      <c r="F177" s="496"/>
      <c r="G177" s="514"/>
      <c r="H177" s="530"/>
      <c r="I177" s="314" t="s">
        <v>8</v>
      </c>
      <c r="J177" s="298">
        <v>0</v>
      </c>
      <c r="K177" s="306" t="s">
        <v>261</v>
      </c>
      <c r="L177" s="299" t="s">
        <v>277</v>
      </c>
      <c r="M177" s="390">
        <v>1</v>
      </c>
      <c r="N177" s="390" t="s">
        <v>262</v>
      </c>
      <c r="O177" s="300" t="s">
        <v>279</v>
      </c>
      <c r="P177" s="298">
        <f>SUM(J177*M177)</f>
        <v>0</v>
      </c>
      <c r="Q177" s="16" t="s">
        <v>261</v>
      </c>
    </row>
    <row r="178" spans="1:31" ht="15.95" customHeight="1">
      <c r="A178" s="148"/>
      <c r="B178" s="343"/>
      <c r="C178" s="537" t="s">
        <v>373</v>
      </c>
      <c r="D178" s="497">
        <v>5500</v>
      </c>
      <c r="E178" s="497">
        <f>P178/1000</f>
        <v>8341</v>
      </c>
      <c r="F178" s="495">
        <v>2900</v>
      </c>
      <c r="G178" s="513">
        <f>+E178-D178</f>
        <v>2841</v>
      </c>
      <c r="H178" s="507">
        <f>+G178/D178*100</f>
        <v>51.654545454545456</v>
      </c>
      <c r="I178" s="17"/>
      <c r="J178" s="8"/>
      <c r="K178" s="9"/>
      <c r="L178" s="10"/>
      <c r="M178" s="415" t="s">
        <v>298</v>
      </c>
      <c r="N178" s="415"/>
      <c r="O178" s="415"/>
      <c r="P178" s="8">
        <f>SUM(P179:P180)</f>
        <v>8341000</v>
      </c>
      <c r="Q178" s="6" t="s">
        <v>261</v>
      </c>
    </row>
    <row r="179" spans="1:31" ht="15.95" customHeight="1">
      <c r="A179" s="148"/>
      <c r="B179" s="343"/>
      <c r="C179" s="541"/>
      <c r="D179" s="498"/>
      <c r="E179" s="498"/>
      <c r="F179" s="496"/>
      <c r="G179" s="514">
        <f>+E179-D179</f>
        <v>0</v>
      </c>
      <c r="H179" s="508" t="e">
        <f>+G179/D179*100</f>
        <v>#DIV/0!</v>
      </c>
      <c r="I179" s="308" t="s">
        <v>56</v>
      </c>
      <c r="J179" s="298">
        <v>8000000</v>
      </c>
      <c r="K179" s="306" t="s">
        <v>261</v>
      </c>
      <c r="L179" s="299" t="s">
        <v>277</v>
      </c>
      <c r="M179" s="390">
        <v>1</v>
      </c>
      <c r="N179" s="390" t="s">
        <v>275</v>
      </c>
      <c r="O179" s="300" t="s">
        <v>279</v>
      </c>
      <c r="P179" s="298">
        <f>SUM(J179*M179)</f>
        <v>8000000</v>
      </c>
      <c r="Q179" s="16" t="s">
        <v>261</v>
      </c>
    </row>
    <row r="180" spans="1:31" ht="15.95" customHeight="1">
      <c r="A180" s="148"/>
      <c r="B180" s="344"/>
      <c r="C180" s="542"/>
      <c r="D180" s="506"/>
      <c r="E180" s="506"/>
      <c r="F180" s="504"/>
      <c r="G180" s="518">
        <f>+E180-D180</f>
        <v>0</v>
      </c>
      <c r="H180" s="519" t="e">
        <f>+G180/D180*100</f>
        <v>#DIV/0!</v>
      </c>
      <c r="I180" s="18" t="s">
        <v>337</v>
      </c>
      <c r="J180" s="19">
        <v>341000</v>
      </c>
      <c r="K180" s="20" t="s">
        <v>261</v>
      </c>
      <c r="L180" s="21" t="s">
        <v>277</v>
      </c>
      <c r="M180" s="389">
        <v>1</v>
      </c>
      <c r="N180" s="389" t="s">
        <v>275</v>
      </c>
      <c r="O180" s="22" t="s">
        <v>279</v>
      </c>
      <c r="P180" s="19">
        <f>SUM(J180*M180)</f>
        <v>341000</v>
      </c>
      <c r="Q180" s="23" t="s">
        <v>261</v>
      </c>
    </row>
    <row r="181" spans="1:31" ht="20.100000000000001" customHeight="1">
      <c r="A181" s="211"/>
      <c r="B181" s="193" t="s">
        <v>458</v>
      </c>
      <c r="C181" s="382" t="s">
        <v>284</v>
      </c>
      <c r="D181" s="355">
        <f>SUM(D182:D185)</f>
        <v>13300</v>
      </c>
      <c r="E181" s="360">
        <f>P181/1000</f>
        <v>21100</v>
      </c>
      <c r="F181" s="357"/>
      <c r="G181" s="360">
        <f>E181-D181</f>
        <v>7800</v>
      </c>
      <c r="H181" s="354">
        <f>G181/D181*100</f>
        <v>58.646616541353382</v>
      </c>
      <c r="I181" s="17"/>
      <c r="J181" s="8"/>
      <c r="K181" s="9"/>
      <c r="L181" s="10"/>
      <c r="M181" s="339"/>
      <c r="N181" s="339"/>
      <c r="O181" s="112"/>
      <c r="P181" s="8">
        <f>P182</f>
        <v>21100000</v>
      </c>
      <c r="Q181" s="6" t="s">
        <v>261</v>
      </c>
    </row>
    <row r="182" spans="1:31" ht="15.95" customHeight="1">
      <c r="A182" s="213"/>
      <c r="B182" s="285"/>
      <c r="C182" s="509" t="s">
        <v>79</v>
      </c>
      <c r="D182" s="497">
        <v>13300</v>
      </c>
      <c r="E182" s="497">
        <f>+P182/1000</f>
        <v>21100</v>
      </c>
      <c r="F182" s="495">
        <v>13620</v>
      </c>
      <c r="G182" s="513">
        <f>+E182-D182</f>
        <v>7800</v>
      </c>
      <c r="H182" s="507">
        <f>+G182/D182*100</f>
        <v>58.646616541353382</v>
      </c>
      <c r="I182" s="17"/>
      <c r="J182" s="8"/>
      <c r="K182" s="9"/>
      <c r="L182" s="10"/>
      <c r="M182" s="415" t="s">
        <v>298</v>
      </c>
      <c r="N182" s="415"/>
      <c r="O182" s="415"/>
      <c r="P182" s="8">
        <f>SUM(P183:P185)</f>
        <v>21100000</v>
      </c>
      <c r="Q182" s="6" t="s">
        <v>261</v>
      </c>
    </row>
    <row r="183" spans="1:31" ht="15.95" customHeight="1">
      <c r="A183" s="213"/>
      <c r="B183" s="343"/>
      <c r="C183" s="510"/>
      <c r="D183" s="498"/>
      <c r="E183" s="498"/>
      <c r="F183" s="496"/>
      <c r="G183" s="514"/>
      <c r="H183" s="508"/>
      <c r="I183" s="321" t="s">
        <v>189</v>
      </c>
      <c r="J183" s="298">
        <v>10300000</v>
      </c>
      <c r="K183" s="306" t="s">
        <v>261</v>
      </c>
      <c r="L183" s="299" t="s">
        <v>277</v>
      </c>
      <c r="M183" s="390">
        <v>1</v>
      </c>
      <c r="N183" s="390" t="s">
        <v>275</v>
      </c>
      <c r="O183" s="300" t="s">
        <v>279</v>
      </c>
      <c r="P183" s="298">
        <f t="shared" ref="P183:P185" si="10">SUM(J183*M183)</f>
        <v>10300000</v>
      </c>
      <c r="Q183" s="16" t="s">
        <v>261</v>
      </c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50"/>
      <c r="AE183" s="50"/>
    </row>
    <row r="184" spans="1:31" ht="15.95" customHeight="1">
      <c r="A184" s="213"/>
      <c r="B184" s="343"/>
      <c r="C184" s="510"/>
      <c r="D184" s="498"/>
      <c r="E184" s="498"/>
      <c r="F184" s="496"/>
      <c r="G184" s="514"/>
      <c r="H184" s="508"/>
      <c r="I184" s="308" t="s">
        <v>423</v>
      </c>
      <c r="J184" s="298">
        <v>9500000</v>
      </c>
      <c r="K184" s="306" t="s">
        <v>261</v>
      </c>
      <c r="L184" s="299" t="s">
        <v>277</v>
      </c>
      <c r="M184" s="390">
        <v>1</v>
      </c>
      <c r="N184" s="390" t="s">
        <v>275</v>
      </c>
      <c r="O184" s="300" t="s">
        <v>279</v>
      </c>
      <c r="P184" s="298">
        <f t="shared" si="10"/>
        <v>9500000</v>
      </c>
      <c r="Q184" s="16" t="s">
        <v>261</v>
      </c>
    </row>
    <row r="185" spans="1:31" ht="15.95" customHeight="1">
      <c r="A185" s="213"/>
      <c r="B185" s="343"/>
      <c r="C185" s="510"/>
      <c r="D185" s="498"/>
      <c r="E185" s="498"/>
      <c r="F185" s="496"/>
      <c r="G185" s="514"/>
      <c r="H185" s="508"/>
      <c r="I185" s="308" t="s">
        <v>472</v>
      </c>
      <c r="J185" s="298">
        <v>1300000</v>
      </c>
      <c r="K185" s="306" t="s">
        <v>261</v>
      </c>
      <c r="L185" s="299" t="s">
        <v>277</v>
      </c>
      <c r="M185" s="390">
        <v>1</v>
      </c>
      <c r="N185" s="390" t="s">
        <v>275</v>
      </c>
      <c r="O185" s="300" t="s">
        <v>279</v>
      </c>
      <c r="P185" s="298">
        <f t="shared" si="10"/>
        <v>1300000</v>
      </c>
      <c r="Q185" s="16" t="s">
        <v>261</v>
      </c>
    </row>
    <row r="186" spans="1:31" ht="20.100000000000001" customHeight="1">
      <c r="A186" s="214"/>
      <c r="B186" s="51" t="s">
        <v>99</v>
      </c>
      <c r="C186" s="381" t="s">
        <v>284</v>
      </c>
      <c r="D186" s="374">
        <f>SUM(D187:D194)</f>
        <v>25730</v>
      </c>
      <c r="E186" s="374">
        <f>SUM(E187:E194)</f>
        <v>42730</v>
      </c>
      <c r="F186" s="362">
        <f>SUM(F187:F194)</f>
        <v>18973</v>
      </c>
      <c r="G186" s="391">
        <f>+E186-D186</f>
        <v>17000</v>
      </c>
      <c r="H186" s="375">
        <f>+G186/D186*100</f>
        <v>66.070734551107662</v>
      </c>
      <c r="I186" s="195"/>
      <c r="J186" s="109"/>
      <c r="K186" s="72"/>
      <c r="L186" s="110"/>
      <c r="M186" s="347"/>
      <c r="N186" s="347"/>
      <c r="O186" s="111"/>
      <c r="P186" s="215">
        <f>SUM(P187,P193)</f>
        <v>42730000</v>
      </c>
      <c r="Q186" s="87" t="s">
        <v>261</v>
      </c>
    </row>
    <row r="187" spans="1:31" ht="15.95" customHeight="1">
      <c r="A187" s="148"/>
      <c r="B187" s="343"/>
      <c r="C187" s="537" t="s">
        <v>178</v>
      </c>
      <c r="D187" s="497">
        <v>13730</v>
      </c>
      <c r="E187" s="497">
        <f>+P187/1000</f>
        <v>30730</v>
      </c>
      <c r="F187" s="495">
        <v>18973</v>
      </c>
      <c r="G187" s="513">
        <f>+E187-D187</f>
        <v>17000</v>
      </c>
      <c r="H187" s="507">
        <f>+G187/D187*100</f>
        <v>123.8164603058995</v>
      </c>
      <c r="I187" s="17"/>
      <c r="J187" s="8"/>
      <c r="K187" s="9"/>
      <c r="L187" s="10"/>
      <c r="M187" s="415" t="s">
        <v>298</v>
      </c>
      <c r="N187" s="415"/>
      <c r="O187" s="415"/>
      <c r="P187" s="8">
        <f>SUM(P188:P192)</f>
        <v>30730000</v>
      </c>
      <c r="Q187" s="6" t="s">
        <v>261</v>
      </c>
    </row>
    <row r="188" spans="1:31" ht="15.95" customHeight="1">
      <c r="A188" s="148"/>
      <c r="B188" s="343"/>
      <c r="C188" s="541"/>
      <c r="D188" s="498"/>
      <c r="E188" s="498"/>
      <c r="F188" s="496"/>
      <c r="G188" s="514"/>
      <c r="H188" s="508"/>
      <c r="I188" s="308" t="s">
        <v>158</v>
      </c>
      <c r="J188" s="298">
        <v>4300000</v>
      </c>
      <c r="K188" s="306" t="s">
        <v>261</v>
      </c>
      <c r="L188" s="299" t="s">
        <v>277</v>
      </c>
      <c r="M188" s="390">
        <v>1</v>
      </c>
      <c r="N188" s="390" t="s">
        <v>275</v>
      </c>
      <c r="O188" s="390" t="s">
        <v>279</v>
      </c>
      <c r="P188" s="298">
        <f>J188*M188</f>
        <v>4300000</v>
      </c>
      <c r="Q188" s="16" t="s">
        <v>261</v>
      </c>
    </row>
    <row r="189" spans="1:31" ht="15.95" customHeight="1">
      <c r="A189" s="148"/>
      <c r="B189" s="343"/>
      <c r="C189" s="541"/>
      <c r="D189" s="498"/>
      <c r="E189" s="498"/>
      <c r="F189" s="359"/>
      <c r="G189" s="514"/>
      <c r="H189" s="508"/>
      <c r="I189" s="308" t="s">
        <v>317</v>
      </c>
      <c r="J189" s="298">
        <v>560000</v>
      </c>
      <c r="K189" s="306" t="s">
        <v>261</v>
      </c>
      <c r="L189" s="299" t="s">
        <v>277</v>
      </c>
      <c r="M189" s="390">
        <v>1</v>
      </c>
      <c r="N189" s="390" t="s">
        <v>275</v>
      </c>
      <c r="O189" s="390" t="s">
        <v>279</v>
      </c>
      <c r="P189" s="298">
        <f>SUM(J189*M189)</f>
        <v>560000</v>
      </c>
      <c r="Q189" s="16" t="s">
        <v>261</v>
      </c>
    </row>
    <row r="190" spans="1:31" ht="15.95" customHeight="1">
      <c r="A190" s="148"/>
      <c r="B190" s="343"/>
      <c r="C190" s="541"/>
      <c r="D190" s="498"/>
      <c r="E190" s="498"/>
      <c r="F190" s="359"/>
      <c r="G190" s="514"/>
      <c r="H190" s="508"/>
      <c r="I190" s="308" t="s">
        <v>430</v>
      </c>
      <c r="J190" s="298">
        <v>12500000</v>
      </c>
      <c r="K190" s="306" t="s">
        <v>261</v>
      </c>
      <c r="L190" s="299" t="s">
        <v>277</v>
      </c>
      <c r="M190" s="390">
        <v>2</v>
      </c>
      <c r="N190" s="390" t="s">
        <v>275</v>
      </c>
      <c r="O190" s="390" t="s">
        <v>279</v>
      </c>
      <c r="P190" s="298">
        <f>SUM(J190*M190)</f>
        <v>25000000</v>
      </c>
      <c r="Q190" s="16" t="s">
        <v>261</v>
      </c>
    </row>
    <row r="191" spans="1:31" ht="15.95" customHeight="1">
      <c r="A191" s="148"/>
      <c r="B191" s="343"/>
      <c r="C191" s="541"/>
      <c r="D191" s="498"/>
      <c r="E191" s="498"/>
      <c r="F191" s="359"/>
      <c r="G191" s="514"/>
      <c r="H191" s="508"/>
      <c r="I191" s="308" t="s">
        <v>456</v>
      </c>
      <c r="J191" s="298">
        <v>300000</v>
      </c>
      <c r="K191" s="306" t="s">
        <v>261</v>
      </c>
      <c r="L191" s="299" t="s">
        <v>277</v>
      </c>
      <c r="M191" s="390">
        <v>2</v>
      </c>
      <c r="N191" s="390" t="s">
        <v>275</v>
      </c>
      <c r="O191" s="390" t="s">
        <v>279</v>
      </c>
      <c r="P191" s="298">
        <f>SUM(J191*M191)</f>
        <v>600000</v>
      </c>
      <c r="Q191" s="16" t="s">
        <v>261</v>
      </c>
    </row>
    <row r="192" spans="1:31" ht="15.95" customHeight="1">
      <c r="A192" s="148"/>
      <c r="B192" s="343"/>
      <c r="C192" s="542"/>
      <c r="D192" s="506"/>
      <c r="E192" s="506"/>
      <c r="F192" s="359"/>
      <c r="G192" s="518"/>
      <c r="H192" s="519"/>
      <c r="I192" s="270" t="s">
        <v>167</v>
      </c>
      <c r="J192" s="298">
        <v>90000</v>
      </c>
      <c r="K192" s="306" t="s">
        <v>261</v>
      </c>
      <c r="L192" s="299" t="s">
        <v>277</v>
      </c>
      <c r="M192" s="390">
        <v>3</v>
      </c>
      <c r="N192" s="390" t="s">
        <v>275</v>
      </c>
      <c r="O192" s="300" t="s">
        <v>279</v>
      </c>
      <c r="P192" s="298">
        <f>SUM(J192*M192)</f>
        <v>270000</v>
      </c>
      <c r="Q192" s="16" t="s">
        <v>261</v>
      </c>
    </row>
    <row r="193" spans="1:17" ht="15.95" customHeight="1">
      <c r="A193" s="148"/>
      <c r="B193" s="343"/>
      <c r="C193" s="547" t="s">
        <v>42</v>
      </c>
      <c r="D193" s="533">
        <v>12000</v>
      </c>
      <c r="E193" s="562">
        <f>+P193/1000</f>
        <v>12000</v>
      </c>
      <c r="F193" s="503">
        <v>0</v>
      </c>
      <c r="G193" s="521">
        <f>+E193-D193</f>
        <v>0</v>
      </c>
      <c r="H193" s="522">
        <f>G193/D193*100</f>
        <v>0</v>
      </c>
      <c r="I193" s="17"/>
      <c r="J193" s="8"/>
      <c r="K193" s="9"/>
      <c r="L193" s="10"/>
      <c r="M193" s="415" t="s">
        <v>298</v>
      </c>
      <c r="N193" s="415"/>
      <c r="O193" s="415"/>
      <c r="P193" s="8">
        <f>SUM(P194:P194)</f>
        <v>12000000</v>
      </c>
      <c r="Q193" s="6" t="s">
        <v>261</v>
      </c>
    </row>
    <row r="194" spans="1:17" ht="15.95" customHeight="1">
      <c r="A194" s="148"/>
      <c r="B194" s="344"/>
      <c r="C194" s="547"/>
      <c r="D194" s="533"/>
      <c r="E194" s="562"/>
      <c r="F194" s="503"/>
      <c r="G194" s="521"/>
      <c r="H194" s="522"/>
      <c r="I194" s="18" t="s">
        <v>238</v>
      </c>
      <c r="J194" s="19">
        <v>12000000</v>
      </c>
      <c r="K194" s="20" t="s">
        <v>261</v>
      </c>
      <c r="L194" s="21" t="s">
        <v>277</v>
      </c>
      <c r="M194" s="389">
        <v>1</v>
      </c>
      <c r="N194" s="389" t="s">
        <v>275</v>
      </c>
      <c r="O194" s="22" t="s">
        <v>279</v>
      </c>
      <c r="P194" s="19">
        <f>SUM(J194*M194)</f>
        <v>12000000</v>
      </c>
      <c r="Q194" s="23" t="s">
        <v>261</v>
      </c>
    </row>
    <row r="195" spans="1:17" ht="20.100000000000001" customHeight="1">
      <c r="A195" s="148"/>
      <c r="B195" s="51" t="s">
        <v>54</v>
      </c>
      <c r="C195" s="24" t="s">
        <v>284</v>
      </c>
      <c r="D195" s="374">
        <f>SUM(D196:D203)</f>
        <v>55380</v>
      </c>
      <c r="E195" s="374">
        <f>SUM(E196:E203)</f>
        <v>59600</v>
      </c>
      <c r="F195" s="259" t="e">
        <f>SUM(#REF!)</f>
        <v>#REF!</v>
      </c>
      <c r="G195" s="391">
        <f>E195-D195</f>
        <v>4220</v>
      </c>
      <c r="H195" s="375">
        <f>+G195/D195*100</f>
        <v>7.620079451065366</v>
      </c>
      <c r="I195" s="202"/>
      <c r="J195" s="109"/>
      <c r="K195" s="72"/>
      <c r="L195" s="110"/>
      <c r="M195" s="347"/>
      <c r="N195" s="347"/>
      <c r="O195" s="111"/>
      <c r="P195" s="215">
        <f>SUM(P196,P199)</f>
        <v>59600000</v>
      </c>
      <c r="Q195" s="74" t="s">
        <v>261</v>
      </c>
    </row>
    <row r="196" spans="1:17" ht="15.95" customHeight="1">
      <c r="A196" s="148"/>
      <c r="B196" s="343"/>
      <c r="C196" s="537" t="s">
        <v>68</v>
      </c>
      <c r="D196" s="499">
        <v>27880</v>
      </c>
      <c r="E196" s="499">
        <f>+P196/1000</f>
        <v>30000</v>
      </c>
      <c r="F196" s="495">
        <v>661</v>
      </c>
      <c r="G196" s="513">
        <f>E196-D196</f>
        <v>2120</v>
      </c>
      <c r="H196" s="515">
        <f>G196/D196*100</f>
        <v>7.6040172166427542</v>
      </c>
      <c r="I196" s="159"/>
      <c r="J196" s="8"/>
      <c r="K196" s="9"/>
      <c r="L196" s="10"/>
      <c r="M196" s="415" t="s">
        <v>298</v>
      </c>
      <c r="N196" s="415"/>
      <c r="O196" s="415"/>
      <c r="P196" s="8">
        <f>SUM(P197:P198)</f>
        <v>30000000</v>
      </c>
      <c r="Q196" s="6" t="s">
        <v>261</v>
      </c>
    </row>
    <row r="197" spans="1:17" ht="15.95" customHeight="1">
      <c r="A197" s="148"/>
      <c r="B197" s="343"/>
      <c r="C197" s="541"/>
      <c r="D197" s="501"/>
      <c r="E197" s="501"/>
      <c r="F197" s="496"/>
      <c r="G197" s="514"/>
      <c r="H197" s="516"/>
      <c r="I197" s="345" t="s">
        <v>384</v>
      </c>
      <c r="J197" s="298">
        <v>15000000</v>
      </c>
      <c r="K197" s="306" t="s">
        <v>261</v>
      </c>
      <c r="L197" s="299" t="s">
        <v>277</v>
      </c>
      <c r="M197" s="390">
        <v>2</v>
      </c>
      <c r="N197" s="390" t="s">
        <v>275</v>
      </c>
      <c r="O197" s="390" t="s">
        <v>279</v>
      </c>
      <c r="P197" s="298">
        <f>+J197*M197</f>
        <v>30000000</v>
      </c>
      <c r="Q197" s="16" t="s">
        <v>261</v>
      </c>
    </row>
    <row r="198" spans="1:17" ht="15.95" customHeight="1">
      <c r="A198" s="148"/>
      <c r="B198" s="343"/>
      <c r="C198" s="541"/>
      <c r="D198" s="501"/>
      <c r="E198" s="501"/>
      <c r="F198" s="496"/>
      <c r="G198" s="514"/>
      <c r="H198" s="516"/>
      <c r="I198" s="345" t="s">
        <v>199</v>
      </c>
      <c r="J198" s="298">
        <v>300000</v>
      </c>
      <c r="K198" s="306" t="s">
        <v>276</v>
      </c>
      <c r="L198" s="299" t="s">
        <v>277</v>
      </c>
      <c r="M198" s="390">
        <v>0</v>
      </c>
      <c r="N198" s="390" t="s">
        <v>275</v>
      </c>
      <c r="O198" s="390" t="s">
        <v>279</v>
      </c>
      <c r="P198" s="298">
        <f>+J198*M198</f>
        <v>0</v>
      </c>
      <c r="Q198" s="16" t="s">
        <v>261</v>
      </c>
    </row>
    <row r="199" spans="1:17" ht="15.95" customHeight="1">
      <c r="A199" s="216"/>
      <c r="B199" s="217"/>
      <c r="C199" s="537" t="s">
        <v>214</v>
      </c>
      <c r="D199" s="499">
        <v>27500</v>
      </c>
      <c r="E199" s="499">
        <f>+P199/1000</f>
        <v>29600</v>
      </c>
      <c r="F199" s="495">
        <v>661</v>
      </c>
      <c r="G199" s="521">
        <f>E199-D199</f>
        <v>2100</v>
      </c>
      <c r="H199" s="515">
        <f>G199/D199*100</f>
        <v>7.6363636363636367</v>
      </c>
      <c r="I199" s="59"/>
      <c r="J199" s="8"/>
      <c r="K199" s="9"/>
      <c r="L199" s="10"/>
      <c r="M199" s="415" t="s">
        <v>298</v>
      </c>
      <c r="N199" s="415"/>
      <c r="O199" s="415"/>
      <c r="P199" s="8">
        <f>SUM(P200:P203)</f>
        <v>29600000</v>
      </c>
      <c r="Q199" s="6" t="s">
        <v>261</v>
      </c>
    </row>
    <row r="200" spans="1:17" ht="15.95" customHeight="1">
      <c r="A200" s="148"/>
      <c r="B200" s="343"/>
      <c r="C200" s="541"/>
      <c r="D200" s="501"/>
      <c r="E200" s="501"/>
      <c r="F200" s="496"/>
      <c r="G200" s="521"/>
      <c r="H200" s="516"/>
      <c r="I200" s="312" t="s">
        <v>59</v>
      </c>
      <c r="J200" s="298">
        <v>70000</v>
      </c>
      <c r="K200" s="306" t="s">
        <v>261</v>
      </c>
      <c r="L200" s="299" t="s">
        <v>277</v>
      </c>
      <c r="M200" s="390">
        <v>330</v>
      </c>
      <c r="N200" s="390" t="s">
        <v>275</v>
      </c>
      <c r="O200" s="300" t="s">
        <v>279</v>
      </c>
      <c r="P200" s="298">
        <f>+J200*M200</f>
        <v>23100000</v>
      </c>
      <c r="Q200" s="16" t="s">
        <v>261</v>
      </c>
    </row>
    <row r="201" spans="1:17" ht="15.95" customHeight="1">
      <c r="A201" s="148"/>
      <c r="B201" s="343"/>
      <c r="C201" s="541"/>
      <c r="D201" s="501"/>
      <c r="E201" s="501"/>
      <c r="F201" s="496"/>
      <c r="G201" s="521"/>
      <c r="H201" s="516"/>
      <c r="I201" s="312" t="s">
        <v>428</v>
      </c>
      <c r="J201" s="298">
        <v>1500000</v>
      </c>
      <c r="K201" s="306" t="s">
        <v>261</v>
      </c>
      <c r="L201" s="299" t="s">
        <v>277</v>
      </c>
      <c r="M201" s="390">
        <v>1</v>
      </c>
      <c r="N201" s="390" t="s">
        <v>275</v>
      </c>
      <c r="O201" s="300" t="s">
        <v>279</v>
      </c>
      <c r="P201" s="298">
        <f>+J201*M201</f>
        <v>1500000</v>
      </c>
      <c r="Q201" s="16" t="s">
        <v>403</v>
      </c>
    </row>
    <row r="202" spans="1:17" ht="15.95" customHeight="1">
      <c r="A202" s="148"/>
      <c r="B202" s="343"/>
      <c r="C202" s="541"/>
      <c r="D202" s="501"/>
      <c r="E202" s="501"/>
      <c r="F202" s="496"/>
      <c r="G202" s="521"/>
      <c r="H202" s="516"/>
      <c r="I202" s="296" t="s">
        <v>454</v>
      </c>
      <c r="J202" s="298"/>
      <c r="K202" s="306" t="s">
        <v>403</v>
      </c>
      <c r="L202" s="299" t="s">
        <v>277</v>
      </c>
      <c r="M202" s="390"/>
      <c r="N202" s="390" t="s">
        <v>275</v>
      </c>
      <c r="O202" s="300" t="s">
        <v>279</v>
      </c>
      <c r="P202" s="298">
        <f>+J202*M202</f>
        <v>0</v>
      </c>
      <c r="Q202" s="16" t="s">
        <v>261</v>
      </c>
    </row>
    <row r="203" spans="1:17" ht="15.95" customHeight="1">
      <c r="A203" s="148"/>
      <c r="B203" s="344"/>
      <c r="C203" s="542"/>
      <c r="D203" s="502"/>
      <c r="E203" s="502"/>
      <c r="F203" s="504"/>
      <c r="G203" s="521"/>
      <c r="H203" s="517"/>
      <c r="I203" s="297" t="s">
        <v>457</v>
      </c>
      <c r="J203" s="19">
        <v>5000000</v>
      </c>
      <c r="K203" s="20" t="s">
        <v>261</v>
      </c>
      <c r="L203" s="21" t="s">
        <v>277</v>
      </c>
      <c r="M203" s="389">
        <v>1</v>
      </c>
      <c r="N203" s="389" t="s">
        <v>275</v>
      </c>
      <c r="O203" s="22" t="s">
        <v>279</v>
      </c>
      <c r="P203" s="19">
        <f>+J203*M203</f>
        <v>5000000</v>
      </c>
      <c r="Q203" s="23" t="s">
        <v>261</v>
      </c>
    </row>
    <row r="204" spans="1:17" ht="20.100000000000001" customHeight="1">
      <c r="A204" s="197" t="s">
        <v>306</v>
      </c>
      <c r="B204" s="51" t="s">
        <v>100</v>
      </c>
      <c r="C204" s="383" t="s">
        <v>284</v>
      </c>
      <c r="D204" s="372">
        <f>SUM(D205:D214)</f>
        <v>13104</v>
      </c>
      <c r="E204" s="372">
        <f>SUM(E205:E214)</f>
        <v>12864</v>
      </c>
      <c r="F204" s="359">
        <f>SUM(F205:F214)</f>
        <v>16571</v>
      </c>
      <c r="G204" s="368">
        <f>+E204-D204</f>
        <v>-240</v>
      </c>
      <c r="H204" s="366">
        <f>+G204/D204*100</f>
        <v>-1.8315018315018317</v>
      </c>
      <c r="I204" s="345"/>
      <c r="J204" s="298"/>
      <c r="K204" s="306"/>
      <c r="L204" s="21"/>
      <c r="M204" s="389"/>
      <c r="N204" s="389"/>
      <c r="O204" s="22"/>
      <c r="P204" s="19">
        <f>SUM(P205,P212)</f>
        <v>12864000</v>
      </c>
      <c r="Q204" s="23" t="s">
        <v>261</v>
      </c>
    </row>
    <row r="205" spans="1:17" ht="15.95" customHeight="1">
      <c r="A205" s="148"/>
      <c r="B205" s="217"/>
      <c r="C205" s="509" t="s">
        <v>72</v>
      </c>
      <c r="D205" s="499">
        <v>10304</v>
      </c>
      <c r="E205" s="499">
        <f>+P205/1000</f>
        <v>10064</v>
      </c>
      <c r="F205" s="495">
        <v>9358</v>
      </c>
      <c r="G205" s="486">
        <f>+E205-D205</f>
        <v>-240</v>
      </c>
      <c r="H205" s="515">
        <f>+G205/D205*100</f>
        <v>-2.329192546583851</v>
      </c>
      <c r="I205" s="159"/>
      <c r="J205" s="8"/>
      <c r="K205" s="9"/>
      <c r="L205" s="9"/>
      <c r="M205" s="415" t="s">
        <v>298</v>
      </c>
      <c r="N205" s="415"/>
      <c r="O205" s="415"/>
      <c r="P205" s="5">
        <f>SUM(P206:P211)</f>
        <v>10064000</v>
      </c>
      <c r="Q205" s="6" t="s">
        <v>261</v>
      </c>
    </row>
    <row r="206" spans="1:17" ht="15.95" customHeight="1">
      <c r="A206" s="148"/>
      <c r="B206" s="343"/>
      <c r="C206" s="510"/>
      <c r="D206" s="501"/>
      <c r="E206" s="501"/>
      <c r="F206" s="496"/>
      <c r="G206" s="487"/>
      <c r="H206" s="516"/>
      <c r="I206" s="345" t="s">
        <v>69</v>
      </c>
      <c r="J206" s="298">
        <v>22000</v>
      </c>
      <c r="K206" s="306" t="s">
        <v>261</v>
      </c>
      <c r="L206" s="299" t="s">
        <v>277</v>
      </c>
      <c r="M206" s="390">
        <v>12</v>
      </c>
      <c r="N206" s="390" t="s">
        <v>276</v>
      </c>
      <c r="O206" s="300" t="s">
        <v>279</v>
      </c>
      <c r="P206" s="298">
        <f t="shared" ref="P206:P210" si="11">SUM(J206*M206)</f>
        <v>264000</v>
      </c>
      <c r="Q206" s="16" t="s">
        <v>261</v>
      </c>
    </row>
    <row r="207" spans="1:17" ht="15.95" customHeight="1">
      <c r="A207" s="148"/>
      <c r="B207" s="343"/>
      <c r="C207" s="510"/>
      <c r="D207" s="501"/>
      <c r="E207" s="501"/>
      <c r="F207" s="496"/>
      <c r="G207" s="487"/>
      <c r="H207" s="516"/>
      <c r="I207" s="345" t="s">
        <v>160</v>
      </c>
      <c r="J207" s="298">
        <v>300000</v>
      </c>
      <c r="K207" s="306" t="s">
        <v>261</v>
      </c>
      <c r="L207" s="299" t="s">
        <v>277</v>
      </c>
      <c r="M207" s="390">
        <v>12</v>
      </c>
      <c r="N207" s="390" t="s">
        <v>276</v>
      </c>
      <c r="O207" s="300" t="s">
        <v>279</v>
      </c>
      <c r="P207" s="298">
        <f t="shared" si="11"/>
        <v>3600000</v>
      </c>
      <c r="Q207" s="16" t="s">
        <v>261</v>
      </c>
    </row>
    <row r="208" spans="1:17" ht="15.95" customHeight="1">
      <c r="A208" s="148"/>
      <c r="B208" s="343"/>
      <c r="C208" s="510"/>
      <c r="D208" s="501"/>
      <c r="E208" s="501"/>
      <c r="F208" s="496"/>
      <c r="G208" s="487"/>
      <c r="H208" s="516"/>
      <c r="I208" s="345" t="s">
        <v>344</v>
      </c>
      <c r="J208" s="298">
        <v>85000</v>
      </c>
      <c r="K208" s="306" t="s">
        <v>261</v>
      </c>
      <c r="L208" s="299" t="s">
        <v>277</v>
      </c>
      <c r="M208" s="390">
        <v>12</v>
      </c>
      <c r="N208" s="390" t="s">
        <v>276</v>
      </c>
      <c r="O208" s="300" t="s">
        <v>279</v>
      </c>
      <c r="P208" s="298">
        <f t="shared" si="11"/>
        <v>1020000</v>
      </c>
      <c r="Q208" s="16" t="s">
        <v>261</v>
      </c>
    </row>
    <row r="209" spans="1:17" ht="15.95" customHeight="1">
      <c r="A209" s="148"/>
      <c r="B209" s="343"/>
      <c r="C209" s="510"/>
      <c r="D209" s="501"/>
      <c r="E209" s="501"/>
      <c r="F209" s="496"/>
      <c r="G209" s="487"/>
      <c r="H209" s="516"/>
      <c r="I209" s="345" t="s">
        <v>229</v>
      </c>
      <c r="J209" s="298">
        <v>380000</v>
      </c>
      <c r="K209" s="306" t="s">
        <v>261</v>
      </c>
      <c r="L209" s="299" t="s">
        <v>277</v>
      </c>
      <c r="M209" s="390">
        <v>12</v>
      </c>
      <c r="N209" s="390" t="s">
        <v>276</v>
      </c>
      <c r="O209" s="300" t="s">
        <v>279</v>
      </c>
      <c r="P209" s="298">
        <f t="shared" si="11"/>
        <v>4560000</v>
      </c>
      <c r="Q209" s="16" t="s">
        <v>261</v>
      </c>
    </row>
    <row r="210" spans="1:17" ht="15.95" customHeight="1">
      <c r="A210" s="148"/>
      <c r="B210" s="343"/>
      <c r="C210" s="510"/>
      <c r="D210" s="501"/>
      <c r="E210" s="501"/>
      <c r="F210" s="496"/>
      <c r="G210" s="487"/>
      <c r="H210" s="516"/>
      <c r="I210" s="345" t="s">
        <v>429</v>
      </c>
      <c r="J210" s="298">
        <v>35000</v>
      </c>
      <c r="K210" s="306" t="s">
        <v>261</v>
      </c>
      <c r="L210" s="299" t="s">
        <v>277</v>
      </c>
      <c r="M210" s="390">
        <v>12</v>
      </c>
      <c r="N210" s="390" t="s">
        <v>275</v>
      </c>
      <c r="O210" s="300" t="s">
        <v>279</v>
      </c>
      <c r="P210" s="298">
        <f t="shared" si="11"/>
        <v>420000</v>
      </c>
      <c r="Q210" s="16" t="s">
        <v>261</v>
      </c>
    </row>
    <row r="211" spans="1:17" ht="15.95" customHeight="1">
      <c r="A211" s="148"/>
      <c r="B211" s="343"/>
      <c r="C211" s="510"/>
      <c r="D211" s="501"/>
      <c r="E211" s="501"/>
      <c r="F211" s="359"/>
      <c r="G211" s="487"/>
      <c r="H211" s="516"/>
      <c r="I211" s="345" t="s">
        <v>200</v>
      </c>
      <c r="J211" s="298">
        <v>200000</v>
      </c>
      <c r="K211" s="306" t="s">
        <v>261</v>
      </c>
      <c r="L211" s="299" t="s">
        <v>277</v>
      </c>
      <c r="M211" s="390">
        <v>1</v>
      </c>
      <c r="N211" s="390" t="s">
        <v>275</v>
      </c>
      <c r="O211" s="300" t="s">
        <v>279</v>
      </c>
      <c r="P211" s="298">
        <f>J211*M211</f>
        <v>200000</v>
      </c>
      <c r="Q211" s="16" t="s">
        <v>261</v>
      </c>
    </row>
    <row r="212" spans="1:17" ht="15.95" customHeight="1">
      <c r="A212" s="148"/>
      <c r="B212" s="343"/>
      <c r="C212" s="509" t="s">
        <v>107</v>
      </c>
      <c r="D212" s="499">
        <v>2800</v>
      </c>
      <c r="E212" s="499">
        <f>+P212/1000</f>
        <v>2800</v>
      </c>
      <c r="F212" s="495">
        <v>7213</v>
      </c>
      <c r="G212" s="486">
        <f>+E212-D212</f>
        <v>0</v>
      </c>
      <c r="H212" s="515"/>
      <c r="I212" s="159"/>
      <c r="J212" s="8"/>
      <c r="K212" s="9"/>
      <c r="L212" s="10"/>
      <c r="M212" s="415" t="s">
        <v>298</v>
      </c>
      <c r="N212" s="415"/>
      <c r="O212" s="415"/>
      <c r="P212" s="5">
        <f>SUM(P213:P214)</f>
        <v>2800000</v>
      </c>
      <c r="Q212" s="6" t="s">
        <v>261</v>
      </c>
    </row>
    <row r="213" spans="1:17" ht="15.95" customHeight="1">
      <c r="A213" s="148"/>
      <c r="B213" s="343"/>
      <c r="C213" s="510"/>
      <c r="D213" s="500"/>
      <c r="E213" s="500"/>
      <c r="F213" s="496"/>
      <c r="G213" s="523"/>
      <c r="H213" s="520"/>
      <c r="I213" s="161" t="s">
        <v>186</v>
      </c>
      <c r="J213" s="298">
        <v>150000</v>
      </c>
      <c r="K213" s="306" t="s">
        <v>261</v>
      </c>
      <c r="L213" s="299" t="s">
        <v>277</v>
      </c>
      <c r="M213" s="390">
        <v>12</v>
      </c>
      <c r="N213" s="390" t="s">
        <v>275</v>
      </c>
      <c r="O213" s="300"/>
      <c r="P213" s="298">
        <f>SUM(J213*M213)</f>
        <v>1800000</v>
      </c>
      <c r="Q213" s="16" t="s">
        <v>261</v>
      </c>
    </row>
    <row r="214" spans="1:17" ht="15.95" customHeight="1">
      <c r="A214" s="148"/>
      <c r="B214" s="343"/>
      <c r="C214" s="510"/>
      <c r="D214" s="500"/>
      <c r="E214" s="500"/>
      <c r="F214" s="496"/>
      <c r="G214" s="523"/>
      <c r="H214" s="520"/>
      <c r="I214" s="345" t="s">
        <v>177</v>
      </c>
      <c r="J214" s="298">
        <v>1000000</v>
      </c>
      <c r="K214" s="306" t="s">
        <v>261</v>
      </c>
      <c r="L214" s="299" t="s">
        <v>277</v>
      </c>
      <c r="M214" s="390">
        <v>1</v>
      </c>
      <c r="N214" s="390" t="s">
        <v>275</v>
      </c>
      <c r="O214" s="300" t="s">
        <v>279</v>
      </c>
      <c r="P214" s="298">
        <f>SUM(J214*M214)</f>
        <v>1000000</v>
      </c>
      <c r="Q214" s="16" t="s">
        <v>261</v>
      </c>
    </row>
    <row r="215" spans="1:17" ht="21.75" customHeight="1">
      <c r="A215" s="219" t="s">
        <v>286</v>
      </c>
      <c r="B215" s="437" t="s">
        <v>273</v>
      </c>
      <c r="C215" s="438"/>
      <c r="D215" s="220">
        <f>SUM(D216:D305)</f>
        <v>1589729.1199129999</v>
      </c>
      <c r="E215" s="220">
        <f t="shared" ref="E215:E235" si="12">P215/1000</f>
        <v>1595033.1718630001</v>
      </c>
      <c r="F215" s="221" t="e">
        <f>SUM(F216:F224,F228:F303)</f>
        <v>#VALUE!</v>
      </c>
      <c r="G215" s="222">
        <f>+E215-D215</f>
        <v>5304.0519500002265</v>
      </c>
      <c r="H215" s="218">
        <f t="shared" ref="H215:H227" si="13">+G215/D215*100</f>
        <v>0.33364501433366822</v>
      </c>
      <c r="I215" s="195"/>
      <c r="J215" s="109"/>
      <c r="K215" s="72"/>
      <c r="L215" s="347"/>
      <c r="M215" s="347"/>
      <c r="N215" s="347"/>
      <c r="O215" s="347"/>
      <c r="P215" s="109">
        <f>SUM(P216:P305)</f>
        <v>1595033171.8630002</v>
      </c>
      <c r="Q215" s="87" t="s">
        <v>261</v>
      </c>
    </row>
    <row r="216" spans="1:17" ht="17.45" customHeight="1">
      <c r="A216" s="148"/>
      <c r="B216" s="352" t="s">
        <v>286</v>
      </c>
      <c r="C216" s="388" t="s">
        <v>111</v>
      </c>
      <c r="D216" s="223">
        <v>43000</v>
      </c>
      <c r="E216" s="374">
        <f t="shared" si="12"/>
        <v>43000</v>
      </c>
      <c r="F216" s="224"/>
      <c r="G216" s="391">
        <f t="shared" ref="G216:G224" si="14">E216-D216</f>
        <v>0</v>
      </c>
      <c r="H216" s="375">
        <f t="shared" si="13"/>
        <v>0</v>
      </c>
      <c r="I216" s="225" t="s">
        <v>409</v>
      </c>
      <c r="J216" s="60">
        <v>10750000</v>
      </c>
      <c r="K216" s="271" t="s">
        <v>261</v>
      </c>
      <c r="L216" s="272" t="s">
        <v>277</v>
      </c>
      <c r="M216" s="273">
        <v>4</v>
      </c>
      <c r="N216" s="273" t="s">
        <v>275</v>
      </c>
      <c r="O216" s="274" t="s">
        <v>279</v>
      </c>
      <c r="P216" s="60">
        <f>J216*M216</f>
        <v>43000000</v>
      </c>
      <c r="Q216" s="275" t="s">
        <v>261</v>
      </c>
    </row>
    <row r="217" spans="1:17" ht="17.45" customHeight="1">
      <c r="A217" s="148"/>
      <c r="B217" s="352"/>
      <c r="C217" s="226" t="s">
        <v>30</v>
      </c>
      <c r="D217" s="223">
        <v>40000</v>
      </c>
      <c r="E217" s="374">
        <f t="shared" si="12"/>
        <v>40000</v>
      </c>
      <c r="F217" s="224"/>
      <c r="G217" s="391">
        <f t="shared" si="14"/>
        <v>0</v>
      </c>
      <c r="H217" s="375">
        <f t="shared" si="13"/>
        <v>0</v>
      </c>
      <c r="I217" s="225" t="s">
        <v>45</v>
      </c>
      <c r="J217" s="301">
        <v>10000000</v>
      </c>
      <c r="K217" s="302" t="s">
        <v>261</v>
      </c>
      <c r="L217" s="303" t="s">
        <v>277</v>
      </c>
      <c r="M217" s="304">
        <v>4</v>
      </c>
      <c r="N217" s="304" t="s">
        <v>275</v>
      </c>
      <c r="O217" s="305" t="s">
        <v>279</v>
      </c>
      <c r="P217" s="301">
        <f t="shared" ref="P217:P274" si="15">J217*M217</f>
        <v>40000000</v>
      </c>
      <c r="Q217" s="227" t="s">
        <v>261</v>
      </c>
    </row>
    <row r="218" spans="1:17" ht="17.45" customHeight="1">
      <c r="A218" s="148"/>
      <c r="B218" s="352"/>
      <c r="C218" s="388" t="s">
        <v>169</v>
      </c>
      <c r="D218" s="374">
        <v>51000</v>
      </c>
      <c r="E218" s="374">
        <f t="shared" si="12"/>
        <v>51000</v>
      </c>
      <c r="F218" s="224"/>
      <c r="G218" s="391">
        <f t="shared" si="14"/>
        <v>0</v>
      </c>
      <c r="H218" s="375">
        <f t="shared" si="13"/>
        <v>0</v>
      </c>
      <c r="I218" s="225" t="s">
        <v>408</v>
      </c>
      <c r="J218" s="301">
        <v>10200000</v>
      </c>
      <c r="K218" s="302" t="s">
        <v>261</v>
      </c>
      <c r="L218" s="303" t="s">
        <v>277</v>
      </c>
      <c r="M218" s="304">
        <v>5</v>
      </c>
      <c r="N218" s="304" t="s">
        <v>275</v>
      </c>
      <c r="O218" s="305" t="s">
        <v>279</v>
      </c>
      <c r="P218" s="301">
        <f t="shared" si="15"/>
        <v>51000000</v>
      </c>
      <c r="Q218" s="227" t="s">
        <v>261</v>
      </c>
    </row>
    <row r="219" spans="1:17" ht="17.45" customHeight="1">
      <c r="A219" s="148"/>
      <c r="B219" s="343"/>
      <c r="C219" s="388" t="s">
        <v>171</v>
      </c>
      <c r="D219" s="223">
        <v>58000</v>
      </c>
      <c r="E219" s="374">
        <f t="shared" si="12"/>
        <v>58000</v>
      </c>
      <c r="F219" s="224"/>
      <c r="G219" s="391">
        <f t="shared" si="14"/>
        <v>0</v>
      </c>
      <c r="H219" s="375">
        <f t="shared" si="13"/>
        <v>0</v>
      </c>
      <c r="I219" s="235" t="s">
        <v>45</v>
      </c>
      <c r="J219" s="65">
        <v>14500000</v>
      </c>
      <c r="K219" s="236" t="s">
        <v>261</v>
      </c>
      <c r="L219" s="237" t="s">
        <v>277</v>
      </c>
      <c r="M219" s="238">
        <v>4</v>
      </c>
      <c r="N219" s="238" t="s">
        <v>275</v>
      </c>
      <c r="O219" s="239" t="s">
        <v>279</v>
      </c>
      <c r="P219" s="65">
        <f t="shared" si="15"/>
        <v>58000000</v>
      </c>
      <c r="Q219" s="229" t="s">
        <v>261</v>
      </c>
    </row>
    <row r="220" spans="1:17" ht="17.45" customHeight="1">
      <c r="A220" s="197"/>
      <c r="B220" s="352"/>
      <c r="C220" s="379" t="s">
        <v>116</v>
      </c>
      <c r="D220" s="373">
        <v>58000</v>
      </c>
      <c r="E220" s="373">
        <f t="shared" si="12"/>
        <v>58000</v>
      </c>
      <c r="F220" s="228"/>
      <c r="G220" s="369">
        <f t="shared" si="14"/>
        <v>0</v>
      </c>
      <c r="H220" s="370">
        <f t="shared" si="13"/>
        <v>0</v>
      </c>
      <c r="I220" s="225" t="s">
        <v>45</v>
      </c>
      <c r="J220" s="301">
        <v>14500000</v>
      </c>
      <c r="K220" s="302" t="s">
        <v>261</v>
      </c>
      <c r="L220" s="303" t="s">
        <v>277</v>
      </c>
      <c r="M220" s="304">
        <v>4</v>
      </c>
      <c r="N220" s="304" t="s">
        <v>275</v>
      </c>
      <c r="O220" s="305" t="s">
        <v>279</v>
      </c>
      <c r="P220" s="301">
        <f t="shared" si="15"/>
        <v>58000000</v>
      </c>
      <c r="Q220" s="227" t="s">
        <v>261</v>
      </c>
    </row>
    <row r="221" spans="1:17" ht="17.45" customHeight="1">
      <c r="A221" s="40"/>
      <c r="B221" s="352"/>
      <c r="C221" s="379" t="s">
        <v>205</v>
      </c>
      <c r="D221" s="200">
        <v>36000</v>
      </c>
      <c r="E221" s="373">
        <f t="shared" si="12"/>
        <v>36000</v>
      </c>
      <c r="F221" s="228"/>
      <c r="G221" s="369">
        <f t="shared" si="14"/>
        <v>0</v>
      </c>
      <c r="H221" s="370">
        <f t="shared" si="13"/>
        <v>0</v>
      </c>
      <c r="I221" s="225" t="s">
        <v>45</v>
      </c>
      <c r="J221" s="301">
        <v>9000000</v>
      </c>
      <c r="K221" s="302" t="s">
        <v>261</v>
      </c>
      <c r="L221" s="303" t="s">
        <v>277</v>
      </c>
      <c r="M221" s="304">
        <v>4</v>
      </c>
      <c r="N221" s="304" t="s">
        <v>275</v>
      </c>
      <c r="O221" s="305" t="s">
        <v>279</v>
      </c>
      <c r="P221" s="301">
        <f t="shared" si="15"/>
        <v>36000000</v>
      </c>
      <c r="Q221" s="227" t="s">
        <v>261</v>
      </c>
    </row>
    <row r="222" spans="1:17" ht="17.45" customHeight="1">
      <c r="A222" s="197"/>
      <c r="B222" s="352"/>
      <c r="C222" s="388" t="s">
        <v>148</v>
      </c>
      <c r="D222" s="223">
        <v>45000</v>
      </c>
      <c r="E222" s="374">
        <f t="shared" si="12"/>
        <v>59490.536</v>
      </c>
      <c r="F222" s="224"/>
      <c r="G222" s="391">
        <f t="shared" si="14"/>
        <v>14490.536</v>
      </c>
      <c r="H222" s="375">
        <f t="shared" si="13"/>
        <v>32.201191111111108</v>
      </c>
      <c r="I222" s="235" t="s">
        <v>45</v>
      </c>
      <c r="J222" s="65">
        <v>11898107.199999999</v>
      </c>
      <c r="K222" s="236" t="s">
        <v>261</v>
      </c>
      <c r="L222" s="237" t="s">
        <v>277</v>
      </c>
      <c r="M222" s="238">
        <v>5</v>
      </c>
      <c r="N222" s="238" t="s">
        <v>275</v>
      </c>
      <c r="O222" s="239" t="s">
        <v>279</v>
      </c>
      <c r="P222" s="65">
        <v>59490536</v>
      </c>
      <c r="Q222" s="229" t="s">
        <v>261</v>
      </c>
    </row>
    <row r="223" spans="1:17" ht="17.45" customHeight="1">
      <c r="A223" s="197" t="s">
        <v>477</v>
      </c>
      <c r="B223" s="352" t="s">
        <v>477</v>
      </c>
      <c r="C223" s="379" t="s">
        <v>121</v>
      </c>
      <c r="D223" s="200">
        <v>41936.61</v>
      </c>
      <c r="E223" s="373">
        <f t="shared" si="12"/>
        <v>41936.61</v>
      </c>
      <c r="F223" s="228"/>
      <c r="G223" s="369">
        <f t="shared" si="14"/>
        <v>0</v>
      </c>
      <c r="H223" s="370">
        <f t="shared" si="13"/>
        <v>0</v>
      </c>
      <c r="I223" s="230" t="s">
        <v>450</v>
      </c>
      <c r="J223" s="301">
        <v>8387322</v>
      </c>
      <c r="K223" s="302" t="s">
        <v>261</v>
      </c>
      <c r="L223" s="303" t="s">
        <v>277</v>
      </c>
      <c r="M223" s="304">
        <v>5</v>
      </c>
      <c r="N223" s="304" t="s">
        <v>275</v>
      </c>
      <c r="O223" s="305" t="s">
        <v>279</v>
      </c>
      <c r="P223" s="301">
        <f t="shared" si="15"/>
        <v>41936610</v>
      </c>
      <c r="Q223" s="227" t="s">
        <v>261</v>
      </c>
    </row>
    <row r="224" spans="1:17" ht="18" customHeight="1">
      <c r="A224" s="148"/>
      <c r="B224" s="343"/>
      <c r="C224" s="388" t="s">
        <v>254</v>
      </c>
      <c r="D224" s="223">
        <v>60000</v>
      </c>
      <c r="E224" s="374">
        <f t="shared" si="12"/>
        <v>60000</v>
      </c>
      <c r="F224" s="224"/>
      <c r="G224" s="391">
        <f t="shared" si="14"/>
        <v>0</v>
      </c>
      <c r="H224" s="375">
        <f t="shared" si="13"/>
        <v>0</v>
      </c>
      <c r="I224" s="225" t="s">
        <v>45</v>
      </c>
      <c r="J224" s="301">
        <v>15000000</v>
      </c>
      <c r="K224" s="302" t="s">
        <v>261</v>
      </c>
      <c r="L224" s="303" t="s">
        <v>277</v>
      </c>
      <c r="M224" s="304">
        <v>4</v>
      </c>
      <c r="N224" s="304" t="s">
        <v>275</v>
      </c>
      <c r="O224" s="305" t="s">
        <v>279</v>
      </c>
      <c r="P224" s="301">
        <f t="shared" si="15"/>
        <v>60000000</v>
      </c>
      <c r="Q224" s="227" t="s">
        <v>261</v>
      </c>
    </row>
    <row r="225" spans="1:29" ht="17.45" customHeight="1">
      <c r="A225" s="148"/>
      <c r="B225" s="343"/>
      <c r="C225" s="226" t="s">
        <v>231</v>
      </c>
      <c r="D225" s="374">
        <v>393000</v>
      </c>
      <c r="E225" s="374">
        <f t="shared" si="12"/>
        <v>342999.99994000001</v>
      </c>
      <c r="F225" s="224"/>
      <c r="G225" s="391">
        <f>+E225-D225</f>
        <v>-50000.000059999991</v>
      </c>
      <c r="H225" s="375">
        <f t="shared" si="13"/>
        <v>-12.722646325699744</v>
      </c>
      <c r="I225" s="225" t="s">
        <v>408</v>
      </c>
      <c r="J225" s="301">
        <v>26384615.379999999</v>
      </c>
      <c r="K225" s="302" t="s">
        <v>261</v>
      </c>
      <c r="L225" s="303" t="s">
        <v>277</v>
      </c>
      <c r="M225" s="304">
        <v>13</v>
      </c>
      <c r="N225" s="304" t="s">
        <v>275</v>
      </c>
      <c r="O225" s="305" t="s">
        <v>279</v>
      </c>
      <c r="P225" s="301">
        <f t="shared" si="15"/>
        <v>342999999.94</v>
      </c>
      <c r="Q225" s="227" t="s">
        <v>261</v>
      </c>
    </row>
    <row r="226" spans="1:29" ht="17.45" customHeight="1">
      <c r="A226" s="148"/>
      <c r="B226" s="343"/>
      <c r="C226" s="388" t="s">
        <v>73</v>
      </c>
      <c r="D226" s="223">
        <v>45000</v>
      </c>
      <c r="E226" s="374">
        <f t="shared" si="12"/>
        <v>45000</v>
      </c>
      <c r="F226" s="224"/>
      <c r="G226" s="391">
        <f>E226-D226</f>
        <v>0</v>
      </c>
      <c r="H226" s="375">
        <f t="shared" si="13"/>
        <v>0</v>
      </c>
      <c r="I226" s="225" t="s">
        <v>408</v>
      </c>
      <c r="J226" s="301">
        <v>9000000</v>
      </c>
      <c r="K226" s="302" t="s">
        <v>261</v>
      </c>
      <c r="L226" s="303" t="s">
        <v>277</v>
      </c>
      <c r="M226" s="304">
        <v>5</v>
      </c>
      <c r="N226" s="304" t="s">
        <v>275</v>
      </c>
      <c r="O226" s="305" t="s">
        <v>279</v>
      </c>
      <c r="P226" s="301">
        <f t="shared" si="15"/>
        <v>45000000</v>
      </c>
      <c r="Q226" s="229" t="s">
        <v>261</v>
      </c>
    </row>
    <row r="227" spans="1:29" ht="17.45" customHeight="1">
      <c r="A227" s="197"/>
      <c r="B227" s="352"/>
      <c r="C227" s="386" t="s">
        <v>390</v>
      </c>
      <c r="D227" s="373">
        <v>15000</v>
      </c>
      <c r="E227" s="373">
        <f t="shared" si="12"/>
        <v>15000</v>
      </c>
      <c r="F227" s="228"/>
      <c r="G227" s="369">
        <f>+E227-D227</f>
        <v>0</v>
      </c>
      <c r="H227" s="370">
        <f t="shared" si="13"/>
        <v>0</v>
      </c>
      <c r="I227" s="225" t="s">
        <v>45</v>
      </c>
      <c r="J227" s="301">
        <v>3750000</v>
      </c>
      <c r="K227" s="302" t="s">
        <v>261</v>
      </c>
      <c r="L227" s="303" t="s">
        <v>277</v>
      </c>
      <c r="M227" s="304">
        <v>4</v>
      </c>
      <c r="N227" s="304" t="s">
        <v>275</v>
      </c>
      <c r="O227" s="305" t="s">
        <v>279</v>
      </c>
      <c r="P227" s="301">
        <f t="shared" si="15"/>
        <v>15000000</v>
      </c>
      <c r="Q227" s="227" t="s">
        <v>261</v>
      </c>
    </row>
    <row r="228" spans="1:29" ht="17.45" customHeight="1">
      <c r="A228" s="148"/>
      <c r="B228" s="343"/>
      <c r="C228" s="226" t="s">
        <v>387</v>
      </c>
      <c r="D228" s="374">
        <v>28000</v>
      </c>
      <c r="E228" s="374">
        <f t="shared" si="12"/>
        <v>28000</v>
      </c>
      <c r="F228" s="224"/>
      <c r="G228" s="391">
        <f>E228-D228</f>
        <v>0</v>
      </c>
      <c r="H228" s="375">
        <f>+G228/D228*100</f>
        <v>0</v>
      </c>
      <c r="I228" s="225" t="s">
        <v>45</v>
      </c>
      <c r="J228" s="301">
        <v>7000000</v>
      </c>
      <c r="K228" s="302" t="s">
        <v>261</v>
      </c>
      <c r="L228" s="303" t="s">
        <v>277</v>
      </c>
      <c r="M228" s="304">
        <v>4</v>
      </c>
      <c r="N228" s="304" t="s">
        <v>275</v>
      </c>
      <c r="O228" s="305" t="s">
        <v>279</v>
      </c>
      <c r="P228" s="301">
        <f t="shared" si="15"/>
        <v>28000000</v>
      </c>
      <c r="Q228" s="227" t="s">
        <v>261</v>
      </c>
    </row>
    <row r="229" spans="1:29" ht="17.45" customHeight="1">
      <c r="A229" s="148"/>
      <c r="B229" s="343"/>
      <c r="C229" s="226" t="s">
        <v>383</v>
      </c>
      <c r="D229" s="374">
        <v>2000</v>
      </c>
      <c r="E229" s="374">
        <f t="shared" si="12"/>
        <v>2000</v>
      </c>
      <c r="F229" s="224"/>
      <c r="G229" s="391">
        <f>E229-D229</f>
        <v>0</v>
      </c>
      <c r="H229" s="375">
        <f>+G229/D229*100</f>
        <v>0</v>
      </c>
      <c r="I229" s="225" t="s">
        <v>45</v>
      </c>
      <c r="J229" s="301">
        <v>500000</v>
      </c>
      <c r="K229" s="302" t="s">
        <v>261</v>
      </c>
      <c r="L229" s="303" t="s">
        <v>277</v>
      </c>
      <c r="M229" s="304">
        <v>4</v>
      </c>
      <c r="N229" s="304" t="s">
        <v>275</v>
      </c>
      <c r="O229" s="305" t="s">
        <v>279</v>
      </c>
      <c r="P229" s="301">
        <f t="shared" si="15"/>
        <v>2000000</v>
      </c>
      <c r="Q229" s="227" t="s">
        <v>261</v>
      </c>
    </row>
    <row r="230" spans="1:29" ht="17.45" customHeight="1">
      <c r="A230" s="148"/>
      <c r="B230" s="343"/>
      <c r="C230" s="388" t="s">
        <v>132</v>
      </c>
      <c r="D230" s="374">
        <v>20000</v>
      </c>
      <c r="E230" s="374">
        <f t="shared" si="12"/>
        <v>20000</v>
      </c>
      <c r="F230" s="224"/>
      <c r="G230" s="391">
        <f t="shared" ref="G230:G235" si="16">+E230-D230</f>
        <v>0</v>
      </c>
      <c r="H230" s="375">
        <f>+G230/D230*100</f>
        <v>0</v>
      </c>
      <c r="I230" s="230" t="s">
        <v>409</v>
      </c>
      <c r="J230" s="301">
        <v>5000000</v>
      </c>
      <c r="K230" s="302" t="s">
        <v>261</v>
      </c>
      <c r="L230" s="303" t="s">
        <v>277</v>
      </c>
      <c r="M230" s="304">
        <v>4</v>
      </c>
      <c r="N230" s="304" t="s">
        <v>275</v>
      </c>
      <c r="O230" s="305" t="s">
        <v>279</v>
      </c>
      <c r="P230" s="301">
        <f t="shared" si="15"/>
        <v>20000000</v>
      </c>
      <c r="Q230" s="227" t="s">
        <v>261</v>
      </c>
    </row>
    <row r="231" spans="1:29" ht="17.45" customHeight="1">
      <c r="A231" s="148"/>
      <c r="B231" s="343"/>
      <c r="C231" s="377" t="s">
        <v>187</v>
      </c>
      <c r="D231" s="371">
        <v>1800</v>
      </c>
      <c r="E231" s="374">
        <f t="shared" si="12"/>
        <v>1800</v>
      </c>
      <c r="F231" s="231"/>
      <c r="G231" s="391">
        <f t="shared" si="16"/>
        <v>0</v>
      </c>
      <c r="H231" s="375">
        <f>+G231/D231*100</f>
        <v>0</v>
      </c>
      <c r="I231" s="225" t="s">
        <v>45</v>
      </c>
      <c r="J231" s="301">
        <v>1800000</v>
      </c>
      <c r="K231" s="302" t="s">
        <v>261</v>
      </c>
      <c r="L231" s="303" t="s">
        <v>277</v>
      </c>
      <c r="M231" s="304">
        <v>1</v>
      </c>
      <c r="N231" s="304" t="s">
        <v>275</v>
      </c>
      <c r="O231" s="305" t="s">
        <v>279</v>
      </c>
      <c r="P231" s="301">
        <f t="shared" si="15"/>
        <v>1800000</v>
      </c>
      <c r="Q231" s="227" t="s">
        <v>261</v>
      </c>
    </row>
    <row r="232" spans="1:29" ht="17.45" customHeight="1">
      <c r="A232" s="148"/>
      <c r="B232" s="343"/>
      <c r="C232" s="377" t="s">
        <v>141</v>
      </c>
      <c r="D232" s="371">
        <v>2400</v>
      </c>
      <c r="E232" s="374">
        <f t="shared" si="12"/>
        <v>2400</v>
      </c>
      <c r="F232" s="231"/>
      <c r="G232" s="391">
        <f t="shared" si="16"/>
        <v>0</v>
      </c>
      <c r="H232" s="375">
        <f>+G232/D232*100</f>
        <v>0</v>
      </c>
      <c r="I232" s="225" t="s">
        <v>45</v>
      </c>
      <c r="J232" s="301">
        <v>2400000</v>
      </c>
      <c r="K232" s="302" t="s">
        <v>261</v>
      </c>
      <c r="L232" s="303" t="s">
        <v>277</v>
      </c>
      <c r="M232" s="304">
        <v>1</v>
      </c>
      <c r="N232" s="304" t="s">
        <v>275</v>
      </c>
      <c r="O232" s="305" t="s">
        <v>279</v>
      </c>
      <c r="P232" s="301">
        <f t="shared" si="15"/>
        <v>2400000</v>
      </c>
      <c r="Q232" s="227" t="s">
        <v>261</v>
      </c>
    </row>
    <row r="233" spans="1:29" ht="17.45" customHeight="1">
      <c r="A233" s="148"/>
      <c r="B233" s="343"/>
      <c r="C233" s="388" t="s">
        <v>142</v>
      </c>
      <c r="D233" s="374">
        <v>3300</v>
      </c>
      <c r="E233" s="374">
        <f t="shared" si="12"/>
        <v>3300</v>
      </c>
      <c r="F233" s="224"/>
      <c r="G233" s="391">
        <f t="shared" si="16"/>
        <v>0</v>
      </c>
      <c r="H233" s="375">
        <f>G233/D233*100</f>
        <v>0</v>
      </c>
      <c r="I233" s="225" t="s">
        <v>45</v>
      </c>
      <c r="J233" s="301">
        <v>3300000</v>
      </c>
      <c r="K233" s="302" t="s">
        <v>261</v>
      </c>
      <c r="L233" s="303" t="s">
        <v>277</v>
      </c>
      <c r="M233" s="304">
        <v>1</v>
      </c>
      <c r="N233" s="304" t="s">
        <v>275</v>
      </c>
      <c r="O233" s="305" t="s">
        <v>279</v>
      </c>
      <c r="P233" s="301">
        <f t="shared" si="15"/>
        <v>3300000</v>
      </c>
      <c r="Q233" s="227" t="s">
        <v>261</v>
      </c>
    </row>
    <row r="234" spans="1:29" ht="17.45" customHeight="1">
      <c r="A234" s="197"/>
      <c r="B234" s="352"/>
      <c r="C234" s="378" t="s">
        <v>196</v>
      </c>
      <c r="D234" s="372">
        <v>1800</v>
      </c>
      <c r="E234" s="373">
        <f t="shared" si="12"/>
        <v>1800</v>
      </c>
      <c r="F234" s="372" t="e">
        <f>Q234/1000</f>
        <v>#VALUE!</v>
      </c>
      <c r="G234" s="369">
        <f t="shared" si="16"/>
        <v>0</v>
      </c>
      <c r="H234" s="370">
        <f>G234/D234*100</f>
        <v>0</v>
      </c>
      <c r="I234" s="225" t="s">
        <v>45</v>
      </c>
      <c r="J234" s="301">
        <v>1800000</v>
      </c>
      <c r="K234" s="302" t="s">
        <v>261</v>
      </c>
      <c r="L234" s="303" t="s">
        <v>277</v>
      </c>
      <c r="M234" s="304">
        <v>1</v>
      </c>
      <c r="N234" s="304" t="s">
        <v>275</v>
      </c>
      <c r="O234" s="305" t="s">
        <v>279</v>
      </c>
      <c r="P234" s="301">
        <f t="shared" si="15"/>
        <v>1800000</v>
      </c>
      <c r="Q234" s="227" t="s">
        <v>261</v>
      </c>
    </row>
    <row r="235" spans="1:29" ht="17.45" customHeight="1">
      <c r="A235" s="148"/>
      <c r="B235" s="343"/>
      <c r="C235" s="377" t="s">
        <v>129</v>
      </c>
      <c r="D235" s="371">
        <v>2700</v>
      </c>
      <c r="E235" s="374">
        <f t="shared" si="12"/>
        <v>2700</v>
      </c>
      <c r="F235" s="371"/>
      <c r="G235" s="391">
        <f t="shared" si="16"/>
        <v>0</v>
      </c>
      <c r="H235" s="375">
        <f>G235/D235*100</f>
        <v>0</v>
      </c>
      <c r="I235" s="225" t="s">
        <v>45</v>
      </c>
      <c r="J235" s="301">
        <v>2700000</v>
      </c>
      <c r="K235" s="302" t="s">
        <v>261</v>
      </c>
      <c r="L235" s="303" t="s">
        <v>277</v>
      </c>
      <c r="M235" s="304">
        <v>1</v>
      </c>
      <c r="N235" s="304" t="s">
        <v>275</v>
      </c>
      <c r="O235" s="305" t="s">
        <v>279</v>
      </c>
      <c r="P235" s="301">
        <f t="shared" si="15"/>
        <v>2700000</v>
      </c>
      <c r="Q235" s="227" t="s">
        <v>261</v>
      </c>
    </row>
    <row r="236" spans="1:29" ht="17.45" customHeight="1">
      <c r="A236" s="216"/>
      <c r="B236" s="217"/>
      <c r="C236" s="226" t="s">
        <v>24</v>
      </c>
      <c r="D236" s="371">
        <v>2100</v>
      </c>
      <c r="E236" s="374">
        <f t="shared" ref="E236:E243" si="17">P236/1000</f>
        <v>2100</v>
      </c>
      <c r="F236" s="224"/>
      <c r="G236" s="391">
        <f t="shared" ref="G236:G243" si="18">+E236-D236</f>
        <v>0</v>
      </c>
      <c r="H236" s="375">
        <f>G236/D236*100</f>
        <v>0</v>
      </c>
      <c r="I236" s="225" t="s">
        <v>45</v>
      </c>
      <c r="J236" s="301">
        <v>2100000</v>
      </c>
      <c r="K236" s="302" t="s">
        <v>261</v>
      </c>
      <c r="L236" s="303" t="s">
        <v>277</v>
      </c>
      <c r="M236" s="304">
        <v>1</v>
      </c>
      <c r="N236" s="304" t="s">
        <v>275</v>
      </c>
      <c r="O236" s="305" t="s">
        <v>279</v>
      </c>
      <c r="P236" s="301">
        <f t="shared" si="15"/>
        <v>2100000</v>
      </c>
      <c r="Q236" s="227" t="s">
        <v>261</v>
      </c>
      <c r="R236" s="155" t="s">
        <v>447</v>
      </c>
      <c r="S236" s="155" t="s">
        <v>447</v>
      </c>
      <c r="T236" s="155" t="s">
        <v>447</v>
      </c>
      <c r="U236" s="155" t="s">
        <v>447</v>
      </c>
      <c r="V236" s="155" t="s">
        <v>447</v>
      </c>
      <c r="W236" s="155" t="s">
        <v>447</v>
      </c>
      <c r="X236" s="155" t="s">
        <v>447</v>
      </c>
      <c r="Y236" s="155" t="s">
        <v>447</v>
      </c>
      <c r="Z236" s="155" t="s">
        <v>447</v>
      </c>
      <c r="AA236" s="155" t="s">
        <v>447</v>
      </c>
      <c r="AB236" s="155" t="s">
        <v>447</v>
      </c>
      <c r="AC236" s="155"/>
    </row>
    <row r="237" spans="1:29" ht="17.45" customHeight="1">
      <c r="A237" s="148"/>
      <c r="B237" s="343"/>
      <c r="C237" s="378" t="s">
        <v>188</v>
      </c>
      <c r="D237" s="371">
        <v>1200</v>
      </c>
      <c r="E237" s="373">
        <f t="shared" si="17"/>
        <v>1200</v>
      </c>
      <c r="F237" s="232"/>
      <c r="G237" s="369">
        <f t="shared" si="18"/>
        <v>0</v>
      </c>
      <c r="H237" s="370">
        <f>+G237/D237*100</f>
        <v>0</v>
      </c>
      <c r="I237" s="225" t="s">
        <v>45</v>
      </c>
      <c r="J237" s="301">
        <v>1200000</v>
      </c>
      <c r="K237" s="302" t="s">
        <v>261</v>
      </c>
      <c r="L237" s="303" t="s">
        <v>277</v>
      </c>
      <c r="M237" s="304">
        <v>1</v>
      </c>
      <c r="N237" s="304" t="s">
        <v>275</v>
      </c>
      <c r="O237" s="305" t="s">
        <v>279</v>
      </c>
      <c r="P237" s="301">
        <f t="shared" si="15"/>
        <v>1200000</v>
      </c>
      <c r="Q237" s="227" t="s">
        <v>261</v>
      </c>
    </row>
    <row r="238" spans="1:29" ht="17.45" customHeight="1">
      <c r="A238" s="148"/>
      <c r="B238" s="343"/>
      <c r="C238" s="384" t="s">
        <v>20</v>
      </c>
      <c r="D238" s="371">
        <v>3000</v>
      </c>
      <c r="E238" s="374">
        <f t="shared" si="17"/>
        <v>3000</v>
      </c>
      <c r="F238" s="231"/>
      <c r="G238" s="391">
        <f t="shared" si="18"/>
        <v>0</v>
      </c>
      <c r="H238" s="370">
        <f>+G238/D238*100</f>
        <v>0</v>
      </c>
      <c r="I238" s="225" t="s">
        <v>45</v>
      </c>
      <c r="J238" s="301">
        <v>3000000</v>
      </c>
      <c r="K238" s="302" t="s">
        <v>261</v>
      </c>
      <c r="L238" s="303" t="s">
        <v>277</v>
      </c>
      <c r="M238" s="304">
        <v>1</v>
      </c>
      <c r="N238" s="304" t="s">
        <v>275</v>
      </c>
      <c r="O238" s="305" t="s">
        <v>279</v>
      </c>
      <c r="P238" s="301">
        <f t="shared" si="15"/>
        <v>3000000</v>
      </c>
      <c r="Q238" s="227" t="s">
        <v>261</v>
      </c>
    </row>
    <row r="239" spans="1:29" ht="17.45" customHeight="1">
      <c r="A239" s="148"/>
      <c r="B239" s="343"/>
      <c r="C239" s="377" t="s">
        <v>109</v>
      </c>
      <c r="D239" s="371">
        <v>3000</v>
      </c>
      <c r="E239" s="374">
        <f t="shared" si="17"/>
        <v>3000</v>
      </c>
      <c r="F239" s="224"/>
      <c r="G239" s="391">
        <f t="shared" si="18"/>
        <v>0</v>
      </c>
      <c r="H239" s="370">
        <f>+G239/D239*100</f>
        <v>0</v>
      </c>
      <c r="I239" s="225" t="s">
        <v>45</v>
      </c>
      <c r="J239" s="301">
        <v>3000000</v>
      </c>
      <c r="K239" s="302" t="s">
        <v>261</v>
      </c>
      <c r="L239" s="303" t="s">
        <v>277</v>
      </c>
      <c r="M239" s="304">
        <v>1</v>
      </c>
      <c r="N239" s="304" t="s">
        <v>275</v>
      </c>
      <c r="O239" s="305" t="s">
        <v>279</v>
      </c>
      <c r="P239" s="301">
        <f t="shared" si="15"/>
        <v>3000000</v>
      </c>
      <c r="Q239" s="227" t="s">
        <v>261</v>
      </c>
    </row>
    <row r="240" spans="1:29" ht="17.45" customHeight="1">
      <c r="A240" s="148"/>
      <c r="B240" s="343"/>
      <c r="C240" s="377" t="s">
        <v>118</v>
      </c>
      <c r="D240" s="371">
        <v>1800</v>
      </c>
      <c r="E240" s="374">
        <f t="shared" si="17"/>
        <v>1800</v>
      </c>
      <c r="F240" s="231"/>
      <c r="G240" s="391">
        <f t="shared" si="18"/>
        <v>0</v>
      </c>
      <c r="H240" s="370">
        <f>+G240/D240*100</f>
        <v>0</v>
      </c>
      <c r="I240" s="225" t="s">
        <v>45</v>
      </c>
      <c r="J240" s="301">
        <v>1800000</v>
      </c>
      <c r="K240" s="302" t="s">
        <v>261</v>
      </c>
      <c r="L240" s="303" t="s">
        <v>277</v>
      </c>
      <c r="M240" s="304">
        <v>1</v>
      </c>
      <c r="N240" s="304" t="s">
        <v>275</v>
      </c>
      <c r="O240" s="305" t="s">
        <v>279</v>
      </c>
      <c r="P240" s="301">
        <f t="shared" si="15"/>
        <v>1800000</v>
      </c>
      <c r="Q240" s="227" t="s">
        <v>261</v>
      </c>
    </row>
    <row r="241" spans="1:17" ht="17.45" customHeight="1">
      <c r="A241" s="148"/>
      <c r="B241" s="343"/>
      <c r="C241" s="377" t="s">
        <v>185</v>
      </c>
      <c r="D241" s="371">
        <v>1500</v>
      </c>
      <c r="E241" s="374">
        <f t="shared" si="17"/>
        <v>1500</v>
      </c>
      <c r="F241" s="231"/>
      <c r="G241" s="391">
        <f t="shared" si="18"/>
        <v>0</v>
      </c>
      <c r="H241" s="375">
        <f>G241/D241*100</f>
        <v>0</v>
      </c>
      <c r="I241" s="225" t="s">
        <v>409</v>
      </c>
      <c r="J241" s="301">
        <v>1500000</v>
      </c>
      <c r="K241" s="302" t="s">
        <v>261</v>
      </c>
      <c r="L241" s="303" t="s">
        <v>277</v>
      </c>
      <c r="M241" s="304">
        <v>1</v>
      </c>
      <c r="N241" s="304" t="s">
        <v>275</v>
      </c>
      <c r="O241" s="305" t="s">
        <v>279</v>
      </c>
      <c r="P241" s="301">
        <f t="shared" si="15"/>
        <v>1500000</v>
      </c>
      <c r="Q241" s="227" t="s">
        <v>261</v>
      </c>
    </row>
    <row r="242" spans="1:17" ht="17.45" customHeight="1">
      <c r="A242" s="148"/>
      <c r="B242" s="343"/>
      <c r="C242" s="388" t="s">
        <v>209</v>
      </c>
      <c r="D242" s="371">
        <v>1800</v>
      </c>
      <c r="E242" s="374">
        <f t="shared" si="17"/>
        <v>1800</v>
      </c>
      <c r="F242" s="224"/>
      <c r="G242" s="391">
        <f t="shared" si="18"/>
        <v>0</v>
      </c>
      <c r="H242" s="375">
        <f>G242/D242*100</f>
        <v>0</v>
      </c>
      <c r="I242" s="230" t="s">
        <v>409</v>
      </c>
      <c r="J242" s="301">
        <v>1800000</v>
      </c>
      <c r="K242" s="302" t="s">
        <v>261</v>
      </c>
      <c r="L242" s="303" t="s">
        <v>277</v>
      </c>
      <c r="M242" s="304">
        <v>1</v>
      </c>
      <c r="N242" s="304" t="s">
        <v>275</v>
      </c>
      <c r="O242" s="305" t="s">
        <v>279</v>
      </c>
      <c r="P242" s="301">
        <f t="shared" si="15"/>
        <v>1800000</v>
      </c>
      <c r="Q242" s="227" t="s">
        <v>261</v>
      </c>
    </row>
    <row r="243" spans="1:17" ht="17.45" customHeight="1">
      <c r="A243" s="148"/>
      <c r="B243" s="343"/>
      <c r="C243" s="386" t="s">
        <v>29</v>
      </c>
      <c r="D243" s="371">
        <v>3600</v>
      </c>
      <c r="E243" s="374">
        <f t="shared" si="17"/>
        <v>3600</v>
      </c>
      <c r="F243" s="228"/>
      <c r="G243" s="391">
        <f t="shared" si="18"/>
        <v>0</v>
      </c>
      <c r="H243" s="375">
        <f>G243/D243*100</f>
        <v>0</v>
      </c>
      <c r="I243" s="225" t="s">
        <v>45</v>
      </c>
      <c r="J243" s="301">
        <v>3600000</v>
      </c>
      <c r="K243" s="302" t="s">
        <v>261</v>
      </c>
      <c r="L243" s="303" t="s">
        <v>277</v>
      </c>
      <c r="M243" s="304">
        <v>1</v>
      </c>
      <c r="N243" s="304" t="s">
        <v>275</v>
      </c>
      <c r="O243" s="305" t="s">
        <v>279</v>
      </c>
      <c r="P243" s="301">
        <f t="shared" si="15"/>
        <v>3600000</v>
      </c>
      <c r="Q243" s="227" t="s">
        <v>261</v>
      </c>
    </row>
    <row r="244" spans="1:17" ht="17.45" customHeight="1">
      <c r="A244" s="148"/>
      <c r="B244" s="343"/>
      <c r="C244" s="388" t="s">
        <v>71</v>
      </c>
      <c r="D244" s="374">
        <v>5000</v>
      </c>
      <c r="E244" s="374">
        <f t="shared" ref="E244:E255" si="19">P244/1000</f>
        <v>5000</v>
      </c>
      <c r="F244" s="224"/>
      <c r="G244" s="391">
        <f t="shared" ref="G244:G256" si="20">+E244-D244</f>
        <v>0</v>
      </c>
      <c r="H244" s="375">
        <f t="shared" ref="H244:H255" si="21">+G244/D244*100</f>
        <v>0</v>
      </c>
      <c r="I244" s="225" t="s">
        <v>45</v>
      </c>
      <c r="J244" s="301">
        <v>5000000</v>
      </c>
      <c r="K244" s="302" t="s">
        <v>261</v>
      </c>
      <c r="L244" s="303" t="s">
        <v>277</v>
      </c>
      <c r="M244" s="304">
        <v>1</v>
      </c>
      <c r="N244" s="304" t="s">
        <v>275</v>
      </c>
      <c r="O244" s="305" t="s">
        <v>279</v>
      </c>
      <c r="P244" s="301">
        <f t="shared" si="15"/>
        <v>5000000</v>
      </c>
      <c r="Q244" s="227" t="s">
        <v>261</v>
      </c>
    </row>
    <row r="245" spans="1:17" ht="17.45" customHeight="1">
      <c r="A245" s="148"/>
      <c r="B245" s="343"/>
      <c r="C245" s="226" t="s">
        <v>252</v>
      </c>
      <c r="D245" s="374">
        <v>5000</v>
      </c>
      <c r="E245" s="374">
        <f t="shared" si="19"/>
        <v>5000</v>
      </c>
      <c r="F245" s="224"/>
      <c r="G245" s="391">
        <f t="shared" si="20"/>
        <v>0</v>
      </c>
      <c r="H245" s="375">
        <f t="shared" si="21"/>
        <v>0</v>
      </c>
      <c r="I245" s="225" t="s">
        <v>45</v>
      </c>
      <c r="J245" s="301">
        <v>5000000</v>
      </c>
      <c r="K245" s="302" t="s">
        <v>261</v>
      </c>
      <c r="L245" s="303" t="s">
        <v>277</v>
      </c>
      <c r="M245" s="304">
        <v>1</v>
      </c>
      <c r="N245" s="304" t="s">
        <v>275</v>
      </c>
      <c r="O245" s="305" t="s">
        <v>279</v>
      </c>
      <c r="P245" s="301">
        <f t="shared" si="15"/>
        <v>5000000</v>
      </c>
      <c r="Q245" s="227" t="s">
        <v>261</v>
      </c>
    </row>
    <row r="246" spans="1:17" ht="17.45" customHeight="1">
      <c r="A246" s="148"/>
      <c r="B246" s="343"/>
      <c r="C246" s="388" t="s">
        <v>126</v>
      </c>
      <c r="D246" s="374">
        <v>5000</v>
      </c>
      <c r="E246" s="374">
        <f t="shared" si="19"/>
        <v>5000</v>
      </c>
      <c r="F246" s="224"/>
      <c r="G246" s="391">
        <f t="shared" si="20"/>
        <v>0</v>
      </c>
      <c r="H246" s="375">
        <f t="shared" si="21"/>
        <v>0</v>
      </c>
      <c r="I246" s="225" t="s">
        <v>45</v>
      </c>
      <c r="J246" s="301">
        <v>5000000</v>
      </c>
      <c r="K246" s="302" t="s">
        <v>261</v>
      </c>
      <c r="L246" s="303" t="s">
        <v>277</v>
      </c>
      <c r="M246" s="304">
        <v>1</v>
      </c>
      <c r="N246" s="304" t="s">
        <v>275</v>
      </c>
      <c r="O246" s="305" t="s">
        <v>279</v>
      </c>
      <c r="P246" s="301">
        <f t="shared" si="15"/>
        <v>5000000</v>
      </c>
      <c r="Q246" s="227" t="s">
        <v>261</v>
      </c>
    </row>
    <row r="247" spans="1:17" ht="17.45" customHeight="1">
      <c r="A247" s="148"/>
      <c r="B247" s="343"/>
      <c r="C247" s="388" t="s">
        <v>153</v>
      </c>
      <c r="D247" s="374">
        <v>2400</v>
      </c>
      <c r="E247" s="374">
        <f t="shared" si="19"/>
        <v>2400</v>
      </c>
      <c r="F247" s="224"/>
      <c r="G247" s="391">
        <f t="shared" si="20"/>
        <v>0</v>
      </c>
      <c r="H247" s="375">
        <f t="shared" si="21"/>
        <v>0</v>
      </c>
      <c r="I247" s="225" t="s">
        <v>45</v>
      </c>
      <c r="J247" s="301">
        <v>2400000</v>
      </c>
      <c r="K247" s="302" t="s">
        <v>261</v>
      </c>
      <c r="L247" s="303" t="s">
        <v>277</v>
      </c>
      <c r="M247" s="304">
        <v>1</v>
      </c>
      <c r="N247" s="304" t="s">
        <v>275</v>
      </c>
      <c r="O247" s="305" t="s">
        <v>279</v>
      </c>
      <c r="P247" s="301">
        <f t="shared" si="15"/>
        <v>2400000</v>
      </c>
      <c r="Q247" s="227" t="s">
        <v>261</v>
      </c>
    </row>
    <row r="248" spans="1:17" ht="17.45" customHeight="1">
      <c r="A248" s="197"/>
      <c r="B248" s="352"/>
      <c r="C248" s="264" t="s">
        <v>236</v>
      </c>
      <c r="D248" s="373">
        <v>96074.999930000005</v>
      </c>
      <c r="E248" s="373">
        <f t="shared" si="19"/>
        <v>96074.999930000005</v>
      </c>
      <c r="F248" s="228"/>
      <c r="G248" s="369">
        <f t="shared" si="20"/>
        <v>0</v>
      </c>
      <c r="H248" s="370">
        <f t="shared" si="21"/>
        <v>0</v>
      </c>
      <c r="I248" s="225" t="s">
        <v>408</v>
      </c>
      <c r="J248" s="301">
        <v>7390384.6100000003</v>
      </c>
      <c r="K248" s="302" t="s">
        <v>261</v>
      </c>
      <c r="L248" s="303" t="s">
        <v>277</v>
      </c>
      <c r="M248" s="304">
        <v>13</v>
      </c>
      <c r="N248" s="304" t="s">
        <v>275</v>
      </c>
      <c r="O248" s="305" t="s">
        <v>279</v>
      </c>
      <c r="P248" s="301">
        <f t="shared" si="15"/>
        <v>96074999.930000007</v>
      </c>
      <c r="Q248" s="227" t="s">
        <v>261</v>
      </c>
    </row>
    <row r="249" spans="1:17" ht="17.45" customHeight="1">
      <c r="A249" s="197"/>
      <c r="B249" s="352"/>
      <c r="C249" s="379" t="s">
        <v>81</v>
      </c>
      <c r="D249" s="373">
        <v>3300</v>
      </c>
      <c r="E249" s="373">
        <f t="shared" si="19"/>
        <v>3300</v>
      </c>
      <c r="F249" s="228"/>
      <c r="G249" s="369">
        <f t="shared" si="20"/>
        <v>0</v>
      </c>
      <c r="H249" s="370">
        <f t="shared" si="21"/>
        <v>0</v>
      </c>
      <c r="I249" s="225" t="s">
        <v>45</v>
      </c>
      <c r="J249" s="301">
        <v>3300000</v>
      </c>
      <c r="K249" s="302" t="s">
        <v>261</v>
      </c>
      <c r="L249" s="303" t="s">
        <v>277</v>
      </c>
      <c r="M249" s="304">
        <v>1</v>
      </c>
      <c r="N249" s="304" t="s">
        <v>275</v>
      </c>
      <c r="O249" s="305" t="s">
        <v>279</v>
      </c>
      <c r="P249" s="301">
        <f t="shared" si="15"/>
        <v>3300000</v>
      </c>
      <c r="Q249" s="227" t="s">
        <v>261</v>
      </c>
    </row>
    <row r="250" spans="1:17" ht="17.45" customHeight="1">
      <c r="A250" s="197"/>
      <c r="B250" s="352"/>
      <c r="C250" s="234" t="s">
        <v>253</v>
      </c>
      <c r="D250" s="373">
        <v>3000</v>
      </c>
      <c r="E250" s="373">
        <f t="shared" si="19"/>
        <v>3000</v>
      </c>
      <c r="F250" s="228"/>
      <c r="G250" s="369">
        <f t="shared" si="20"/>
        <v>0</v>
      </c>
      <c r="H250" s="370">
        <f t="shared" si="21"/>
        <v>0</v>
      </c>
      <c r="I250" s="225" t="s">
        <v>45</v>
      </c>
      <c r="J250" s="301">
        <v>3000000</v>
      </c>
      <c r="K250" s="302" t="s">
        <v>261</v>
      </c>
      <c r="L250" s="303" t="s">
        <v>277</v>
      </c>
      <c r="M250" s="304">
        <v>1</v>
      </c>
      <c r="N250" s="304" t="s">
        <v>275</v>
      </c>
      <c r="O250" s="305" t="s">
        <v>279</v>
      </c>
      <c r="P250" s="301">
        <f t="shared" si="15"/>
        <v>3000000</v>
      </c>
      <c r="Q250" s="227" t="s">
        <v>261</v>
      </c>
    </row>
    <row r="251" spans="1:17" ht="17.45" customHeight="1">
      <c r="A251" s="148"/>
      <c r="B251" s="343"/>
      <c r="C251" s="226" t="s">
        <v>223</v>
      </c>
      <c r="D251" s="374">
        <v>3000</v>
      </c>
      <c r="E251" s="374">
        <f t="shared" si="19"/>
        <v>3000</v>
      </c>
      <c r="F251" s="224"/>
      <c r="G251" s="391">
        <f t="shared" si="20"/>
        <v>0</v>
      </c>
      <c r="H251" s="375">
        <f t="shared" si="21"/>
        <v>0</v>
      </c>
      <c r="I251" s="235" t="s">
        <v>45</v>
      </c>
      <c r="J251" s="65">
        <v>3000000</v>
      </c>
      <c r="K251" s="236" t="s">
        <v>261</v>
      </c>
      <c r="L251" s="237" t="s">
        <v>277</v>
      </c>
      <c r="M251" s="238">
        <v>1</v>
      </c>
      <c r="N251" s="238" t="s">
        <v>275</v>
      </c>
      <c r="O251" s="239" t="s">
        <v>279</v>
      </c>
      <c r="P251" s="65">
        <f t="shared" si="15"/>
        <v>3000000</v>
      </c>
      <c r="Q251" s="229" t="s">
        <v>261</v>
      </c>
    </row>
    <row r="252" spans="1:17" ht="17.45" customHeight="1">
      <c r="A252" s="197" t="s">
        <v>477</v>
      </c>
      <c r="B252" s="352" t="s">
        <v>477</v>
      </c>
      <c r="C252" s="379" t="s">
        <v>103</v>
      </c>
      <c r="D252" s="373">
        <v>3600</v>
      </c>
      <c r="E252" s="373">
        <f t="shared" si="19"/>
        <v>3600</v>
      </c>
      <c r="F252" s="228"/>
      <c r="G252" s="369">
        <f t="shared" si="20"/>
        <v>0</v>
      </c>
      <c r="H252" s="370">
        <f t="shared" si="21"/>
        <v>0</v>
      </c>
      <c r="I252" s="225" t="s">
        <v>45</v>
      </c>
      <c r="J252" s="301">
        <v>3600000</v>
      </c>
      <c r="K252" s="302" t="s">
        <v>261</v>
      </c>
      <c r="L252" s="303" t="s">
        <v>277</v>
      </c>
      <c r="M252" s="304">
        <v>1</v>
      </c>
      <c r="N252" s="304" t="s">
        <v>275</v>
      </c>
      <c r="O252" s="305" t="s">
        <v>279</v>
      </c>
      <c r="P252" s="301">
        <f t="shared" si="15"/>
        <v>3600000</v>
      </c>
      <c r="Q252" s="229" t="s">
        <v>261</v>
      </c>
    </row>
    <row r="253" spans="1:17" ht="17.45" customHeight="1">
      <c r="A253" s="148"/>
      <c r="B253" s="343"/>
      <c r="C253" s="226" t="s">
        <v>320</v>
      </c>
      <c r="D253" s="374">
        <v>3000</v>
      </c>
      <c r="E253" s="374">
        <f t="shared" si="19"/>
        <v>3000</v>
      </c>
      <c r="F253" s="224"/>
      <c r="G253" s="391">
        <f t="shared" si="20"/>
        <v>0</v>
      </c>
      <c r="H253" s="375">
        <f t="shared" si="21"/>
        <v>0</v>
      </c>
      <c r="I253" s="225" t="s">
        <v>45</v>
      </c>
      <c r="J253" s="301">
        <v>3000000</v>
      </c>
      <c r="K253" s="302" t="s">
        <v>261</v>
      </c>
      <c r="L253" s="303" t="s">
        <v>277</v>
      </c>
      <c r="M253" s="304">
        <v>1</v>
      </c>
      <c r="N253" s="304" t="s">
        <v>275</v>
      </c>
      <c r="O253" s="305" t="s">
        <v>279</v>
      </c>
      <c r="P253" s="301">
        <f t="shared" si="15"/>
        <v>3000000</v>
      </c>
      <c r="Q253" s="227" t="s">
        <v>261</v>
      </c>
    </row>
    <row r="254" spans="1:17" ht="17.45" customHeight="1">
      <c r="A254" s="148"/>
      <c r="B254" s="343"/>
      <c r="C254" s="226" t="s">
        <v>27</v>
      </c>
      <c r="D254" s="374">
        <v>11499.4</v>
      </c>
      <c r="E254" s="374">
        <f t="shared" si="19"/>
        <v>11499.4</v>
      </c>
      <c r="F254" s="224"/>
      <c r="G254" s="391">
        <f t="shared" si="20"/>
        <v>0</v>
      </c>
      <c r="H254" s="375">
        <f t="shared" si="21"/>
        <v>0</v>
      </c>
      <c r="I254" s="225" t="s">
        <v>408</v>
      </c>
      <c r="J254" s="301">
        <v>5749700</v>
      </c>
      <c r="K254" s="302" t="s">
        <v>261</v>
      </c>
      <c r="L254" s="303" t="s">
        <v>277</v>
      </c>
      <c r="M254" s="304">
        <v>2</v>
      </c>
      <c r="N254" s="304" t="s">
        <v>275</v>
      </c>
      <c r="O254" s="305" t="s">
        <v>279</v>
      </c>
      <c r="P254" s="301">
        <f t="shared" si="15"/>
        <v>11499400</v>
      </c>
      <c r="Q254" s="227" t="s">
        <v>261</v>
      </c>
    </row>
    <row r="255" spans="1:17" ht="17.45" customHeight="1">
      <c r="A255" s="197"/>
      <c r="B255" s="352"/>
      <c r="C255" s="379" t="s">
        <v>105</v>
      </c>
      <c r="D255" s="373">
        <v>2700</v>
      </c>
      <c r="E255" s="373">
        <f t="shared" si="19"/>
        <v>2700</v>
      </c>
      <c r="F255" s="228"/>
      <c r="G255" s="369">
        <f t="shared" si="20"/>
        <v>0</v>
      </c>
      <c r="H255" s="370">
        <f t="shared" si="21"/>
        <v>0</v>
      </c>
      <c r="I255" s="225" t="s">
        <v>45</v>
      </c>
      <c r="J255" s="301">
        <v>2700000</v>
      </c>
      <c r="K255" s="302" t="s">
        <v>261</v>
      </c>
      <c r="L255" s="303" t="s">
        <v>277</v>
      </c>
      <c r="M255" s="304">
        <v>1</v>
      </c>
      <c r="N255" s="304" t="s">
        <v>275</v>
      </c>
      <c r="O255" s="305" t="s">
        <v>279</v>
      </c>
      <c r="P255" s="301">
        <f t="shared" si="15"/>
        <v>2700000</v>
      </c>
      <c r="Q255" s="227" t="s">
        <v>261</v>
      </c>
    </row>
    <row r="256" spans="1:17" ht="17.45" customHeight="1">
      <c r="A256" s="197"/>
      <c r="B256" s="352"/>
      <c r="C256" s="388" t="s">
        <v>86</v>
      </c>
      <c r="D256" s="374">
        <v>2400</v>
      </c>
      <c r="E256" s="374">
        <f t="shared" ref="E256:E271" si="22">P256/1000</f>
        <v>2400</v>
      </c>
      <c r="F256" s="224"/>
      <c r="G256" s="391">
        <f t="shared" si="20"/>
        <v>0</v>
      </c>
      <c r="H256" s="375">
        <f t="shared" ref="H256:H264" si="23">+G256/D256*100</f>
        <v>0</v>
      </c>
      <c r="I256" s="225" t="s">
        <v>45</v>
      </c>
      <c r="J256" s="301">
        <v>2400000</v>
      </c>
      <c r="K256" s="302" t="s">
        <v>261</v>
      </c>
      <c r="L256" s="303" t="s">
        <v>277</v>
      </c>
      <c r="M256" s="304">
        <v>1</v>
      </c>
      <c r="N256" s="304" t="s">
        <v>275</v>
      </c>
      <c r="O256" s="305" t="s">
        <v>279</v>
      </c>
      <c r="P256" s="301">
        <f t="shared" si="15"/>
        <v>2400000</v>
      </c>
      <c r="Q256" s="227" t="s">
        <v>261</v>
      </c>
    </row>
    <row r="257" spans="1:17" ht="17.45" customHeight="1">
      <c r="A257" s="148"/>
      <c r="B257" s="343"/>
      <c r="C257" s="377" t="s">
        <v>176</v>
      </c>
      <c r="D257" s="371">
        <v>13776</v>
      </c>
      <c r="E257" s="374">
        <f>P257/1000</f>
        <v>14511.57</v>
      </c>
      <c r="F257" s="231"/>
      <c r="G257" s="391">
        <f>+E257-D257</f>
        <v>735.56999999999971</v>
      </c>
      <c r="H257" s="375">
        <f>+G257/D257*100</f>
        <v>5.3395034843205558</v>
      </c>
      <c r="I257" s="225" t="s">
        <v>408</v>
      </c>
      <c r="J257" s="301">
        <v>4837190</v>
      </c>
      <c r="K257" s="302" t="s">
        <v>261</v>
      </c>
      <c r="L257" s="303" t="s">
        <v>277</v>
      </c>
      <c r="M257" s="304">
        <v>3</v>
      </c>
      <c r="N257" s="304" t="s">
        <v>275</v>
      </c>
      <c r="O257" s="305" t="s">
        <v>279</v>
      </c>
      <c r="P257" s="301">
        <f>J257*M257</f>
        <v>14511570</v>
      </c>
      <c r="Q257" s="227" t="s">
        <v>261</v>
      </c>
    </row>
    <row r="258" spans="1:17" ht="17.45" customHeight="1">
      <c r="A258" s="197"/>
      <c r="B258" s="352"/>
      <c r="C258" s="384" t="s">
        <v>394</v>
      </c>
      <c r="D258" s="371">
        <v>6000</v>
      </c>
      <c r="E258" s="374">
        <f>P258/1000</f>
        <v>6000</v>
      </c>
      <c r="F258" s="231"/>
      <c r="G258" s="391">
        <f>+E258-D258</f>
        <v>0</v>
      </c>
      <c r="H258" s="375">
        <f t="shared" si="23"/>
        <v>0</v>
      </c>
      <c r="I258" s="225" t="s">
        <v>45</v>
      </c>
      <c r="J258" s="301">
        <v>500000</v>
      </c>
      <c r="K258" s="302" t="s">
        <v>261</v>
      </c>
      <c r="L258" s="303" t="s">
        <v>277</v>
      </c>
      <c r="M258" s="304">
        <v>12</v>
      </c>
      <c r="N258" s="304" t="s">
        <v>275</v>
      </c>
      <c r="O258" s="305" t="s">
        <v>279</v>
      </c>
      <c r="P258" s="301">
        <f>J258*M258</f>
        <v>6000000</v>
      </c>
      <c r="Q258" s="227" t="s">
        <v>261</v>
      </c>
    </row>
    <row r="259" spans="1:17" ht="17.45" customHeight="1">
      <c r="A259" s="148"/>
      <c r="B259" s="343"/>
      <c r="C259" s="384" t="s">
        <v>359</v>
      </c>
      <c r="D259" s="371">
        <v>600</v>
      </c>
      <c r="E259" s="374">
        <f t="shared" si="22"/>
        <v>600</v>
      </c>
      <c r="F259" s="231"/>
      <c r="G259" s="391">
        <f t="shared" ref="G259:G271" si="24">+E259-D259</f>
        <v>0</v>
      </c>
      <c r="H259" s="375">
        <f t="shared" si="23"/>
        <v>0</v>
      </c>
      <c r="I259" s="225" t="s">
        <v>45</v>
      </c>
      <c r="J259" s="301">
        <v>600000</v>
      </c>
      <c r="K259" s="302" t="s">
        <v>261</v>
      </c>
      <c r="L259" s="303" t="s">
        <v>277</v>
      </c>
      <c r="M259" s="304">
        <v>1</v>
      </c>
      <c r="N259" s="304" t="s">
        <v>275</v>
      </c>
      <c r="O259" s="305" t="s">
        <v>279</v>
      </c>
      <c r="P259" s="301">
        <f t="shared" si="15"/>
        <v>600000</v>
      </c>
      <c r="Q259" s="227" t="s">
        <v>261</v>
      </c>
    </row>
    <row r="260" spans="1:17" ht="17.45" customHeight="1">
      <c r="A260" s="148"/>
      <c r="B260" s="343"/>
      <c r="C260" s="226" t="s">
        <v>204</v>
      </c>
      <c r="D260" s="374">
        <v>7580</v>
      </c>
      <c r="E260" s="374">
        <f t="shared" si="22"/>
        <v>7580</v>
      </c>
      <c r="F260" s="231"/>
      <c r="G260" s="391">
        <f t="shared" si="24"/>
        <v>0</v>
      </c>
      <c r="H260" s="375">
        <f t="shared" si="23"/>
        <v>0</v>
      </c>
      <c r="I260" s="225" t="s">
        <v>408</v>
      </c>
      <c r="J260" s="301">
        <v>3790000</v>
      </c>
      <c r="K260" s="302" t="s">
        <v>261</v>
      </c>
      <c r="L260" s="303" t="s">
        <v>277</v>
      </c>
      <c r="M260" s="304">
        <v>2</v>
      </c>
      <c r="N260" s="304" t="s">
        <v>275</v>
      </c>
      <c r="O260" s="305" t="s">
        <v>279</v>
      </c>
      <c r="P260" s="301">
        <f t="shared" si="15"/>
        <v>7580000</v>
      </c>
      <c r="Q260" s="227" t="s">
        <v>261</v>
      </c>
    </row>
    <row r="261" spans="1:17" ht="17.45" customHeight="1">
      <c r="A261" s="148"/>
      <c r="B261" s="343"/>
      <c r="C261" s="226" t="s">
        <v>397</v>
      </c>
      <c r="D261" s="374">
        <v>7342</v>
      </c>
      <c r="E261" s="374">
        <f t="shared" si="22"/>
        <v>7342</v>
      </c>
      <c r="F261" s="224"/>
      <c r="G261" s="391">
        <f t="shared" si="24"/>
        <v>0</v>
      </c>
      <c r="H261" s="370">
        <f t="shared" si="23"/>
        <v>0</v>
      </c>
      <c r="I261" s="225" t="s">
        <v>408</v>
      </c>
      <c r="J261" s="301">
        <v>3671000</v>
      </c>
      <c r="K261" s="302" t="s">
        <v>261</v>
      </c>
      <c r="L261" s="303" t="s">
        <v>277</v>
      </c>
      <c r="M261" s="304">
        <v>2</v>
      </c>
      <c r="N261" s="304" t="s">
        <v>275</v>
      </c>
      <c r="O261" s="305" t="s">
        <v>279</v>
      </c>
      <c r="P261" s="301">
        <f t="shared" si="15"/>
        <v>7342000</v>
      </c>
      <c r="Q261" s="227" t="s">
        <v>261</v>
      </c>
    </row>
    <row r="262" spans="1:17" ht="17.45" customHeight="1">
      <c r="A262" s="148"/>
      <c r="B262" s="343"/>
      <c r="C262" s="226" t="s">
        <v>233</v>
      </c>
      <c r="D262" s="374">
        <v>3400</v>
      </c>
      <c r="E262" s="374">
        <f t="shared" si="22"/>
        <v>3400</v>
      </c>
      <c r="F262" s="224"/>
      <c r="G262" s="391">
        <f t="shared" si="24"/>
        <v>0</v>
      </c>
      <c r="H262" s="370">
        <f t="shared" si="23"/>
        <v>0</v>
      </c>
      <c r="I262" s="225" t="s">
        <v>45</v>
      </c>
      <c r="J262" s="301">
        <v>850000</v>
      </c>
      <c r="K262" s="302" t="s">
        <v>261</v>
      </c>
      <c r="L262" s="303" t="s">
        <v>277</v>
      </c>
      <c r="M262" s="304">
        <v>4</v>
      </c>
      <c r="N262" s="304" t="s">
        <v>275</v>
      </c>
      <c r="O262" s="305" t="s">
        <v>279</v>
      </c>
      <c r="P262" s="301">
        <f t="shared" si="15"/>
        <v>3400000</v>
      </c>
      <c r="Q262" s="227" t="s">
        <v>261</v>
      </c>
    </row>
    <row r="263" spans="1:17" ht="17.45" customHeight="1">
      <c r="A263" s="148"/>
      <c r="B263" s="343"/>
      <c r="C263" s="233" t="s">
        <v>230</v>
      </c>
      <c r="D263" s="374">
        <v>21488.02</v>
      </c>
      <c r="E263" s="374">
        <f t="shared" si="22"/>
        <v>21492</v>
      </c>
      <c r="F263" s="224"/>
      <c r="G263" s="391">
        <f t="shared" si="24"/>
        <v>3.9799999999995634</v>
      </c>
      <c r="H263" s="370">
        <f t="shared" si="23"/>
        <v>1.8521948508981111E-2</v>
      </c>
      <c r="I263" s="230" t="s">
        <v>450</v>
      </c>
      <c r="J263" s="298">
        <v>7164000</v>
      </c>
      <c r="K263" s="302" t="s">
        <v>261</v>
      </c>
      <c r="L263" s="303" t="s">
        <v>277</v>
      </c>
      <c r="M263" s="304">
        <v>3</v>
      </c>
      <c r="N263" s="304" t="s">
        <v>275</v>
      </c>
      <c r="O263" s="305" t="s">
        <v>279</v>
      </c>
      <c r="P263" s="301">
        <f t="shared" si="15"/>
        <v>21492000</v>
      </c>
      <c r="Q263" s="227" t="s">
        <v>261</v>
      </c>
    </row>
    <row r="264" spans="1:17" ht="17.45" customHeight="1">
      <c r="A264" s="148"/>
      <c r="B264" s="343"/>
      <c r="C264" s="233" t="s">
        <v>355</v>
      </c>
      <c r="D264" s="374">
        <v>300</v>
      </c>
      <c r="E264" s="374">
        <f t="shared" si="22"/>
        <v>300</v>
      </c>
      <c r="F264" s="224"/>
      <c r="G264" s="391">
        <f t="shared" si="24"/>
        <v>0</v>
      </c>
      <c r="H264" s="370">
        <f t="shared" si="23"/>
        <v>0</v>
      </c>
      <c r="I264" s="225" t="s">
        <v>409</v>
      </c>
      <c r="J264" s="298">
        <v>300000</v>
      </c>
      <c r="K264" s="302" t="s">
        <v>261</v>
      </c>
      <c r="L264" s="303" t="s">
        <v>277</v>
      </c>
      <c r="M264" s="304">
        <v>1</v>
      </c>
      <c r="N264" s="304" t="s">
        <v>275</v>
      </c>
      <c r="O264" s="305" t="s">
        <v>279</v>
      </c>
      <c r="P264" s="301">
        <f t="shared" si="15"/>
        <v>300000</v>
      </c>
      <c r="Q264" s="227" t="s">
        <v>261</v>
      </c>
    </row>
    <row r="265" spans="1:17" ht="17.45" customHeight="1">
      <c r="A265" s="148"/>
      <c r="B265" s="343"/>
      <c r="C265" s="388" t="s">
        <v>172</v>
      </c>
      <c r="D265" s="374">
        <v>5195</v>
      </c>
      <c r="E265" s="374">
        <f t="shared" si="22"/>
        <v>5195</v>
      </c>
      <c r="F265" s="224"/>
      <c r="G265" s="391">
        <f t="shared" si="24"/>
        <v>0</v>
      </c>
      <c r="H265" s="375">
        <f t="shared" ref="H265:H270" si="25">G265/D265*100</f>
        <v>0</v>
      </c>
      <c r="I265" s="225" t="s">
        <v>408</v>
      </c>
      <c r="J265" s="298">
        <v>2597500</v>
      </c>
      <c r="K265" s="302" t="s">
        <v>261</v>
      </c>
      <c r="L265" s="303" t="s">
        <v>277</v>
      </c>
      <c r="M265" s="304">
        <v>2</v>
      </c>
      <c r="N265" s="304" t="s">
        <v>275</v>
      </c>
      <c r="O265" s="305" t="s">
        <v>279</v>
      </c>
      <c r="P265" s="301">
        <f t="shared" si="15"/>
        <v>5195000</v>
      </c>
      <c r="Q265" s="227" t="s">
        <v>261</v>
      </c>
    </row>
    <row r="266" spans="1:17" ht="17.45" customHeight="1">
      <c r="A266" s="148"/>
      <c r="B266" s="343"/>
      <c r="C266" s="388" t="s">
        <v>117</v>
      </c>
      <c r="D266" s="374">
        <v>5063</v>
      </c>
      <c r="E266" s="374">
        <f t="shared" si="22"/>
        <v>5063</v>
      </c>
      <c r="F266" s="224"/>
      <c r="G266" s="391">
        <f t="shared" si="24"/>
        <v>0</v>
      </c>
      <c r="H266" s="375">
        <f t="shared" si="25"/>
        <v>0</v>
      </c>
      <c r="I266" s="225" t="s">
        <v>408</v>
      </c>
      <c r="J266" s="298">
        <v>2531500</v>
      </c>
      <c r="K266" s="302" t="s">
        <v>261</v>
      </c>
      <c r="L266" s="303" t="s">
        <v>277</v>
      </c>
      <c r="M266" s="304">
        <v>2</v>
      </c>
      <c r="N266" s="304" t="s">
        <v>275</v>
      </c>
      <c r="O266" s="305" t="s">
        <v>279</v>
      </c>
      <c r="P266" s="301">
        <f t="shared" si="15"/>
        <v>5063000</v>
      </c>
      <c r="Q266" s="227" t="s">
        <v>261</v>
      </c>
    </row>
    <row r="267" spans="1:17" ht="17.45" customHeight="1">
      <c r="A267" s="148"/>
      <c r="B267" s="343"/>
      <c r="C267" s="388" t="s">
        <v>208</v>
      </c>
      <c r="D267" s="374">
        <v>300</v>
      </c>
      <c r="E267" s="374">
        <f t="shared" si="22"/>
        <v>300</v>
      </c>
      <c r="F267" s="224"/>
      <c r="G267" s="391">
        <f t="shared" si="24"/>
        <v>0</v>
      </c>
      <c r="H267" s="375">
        <f t="shared" si="25"/>
        <v>0</v>
      </c>
      <c r="I267" s="225" t="s">
        <v>45</v>
      </c>
      <c r="J267" s="298">
        <v>300000</v>
      </c>
      <c r="K267" s="302" t="s">
        <v>261</v>
      </c>
      <c r="L267" s="303" t="s">
        <v>277</v>
      </c>
      <c r="M267" s="304">
        <v>1</v>
      </c>
      <c r="N267" s="304" t="s">
        <v>275</v>
      </c>
      <c r="O267" s="305" t="s">
        <v>279</v>
      </c>
      <c r="P267" s="301">
        <f t="shared" si="15"/>
        <v>300000</v>
      </c>
      <c r="Q267" s="227" t="s">
        <v>261</v>
      </c>
    </row>
    <row r="268" spans="1:17" ht="17.45" customHeight="1">
      <c r="A268" s="148"/>
      <c r="B268" s="343"/>
      <c r="C268" s="388" t="s">
        <v>63</v>
      </c>
      <c r="D268" s="374">
        <v>5000</v>
      </c>
      <c r="E268" s="374">
        <f t="shared" si="22"/>
        <v>5000</v>
      </c>
      <c r="F268" s="224"/>
      <c r="G268" s="391">
        <f t="shared" si="24"/>
        <v>0</v>
      </c>
      <c r="H268" s="375">
        <f t="shared" si="25"/>
        <v>0</v>
      </c>
      <c r="I268" s="225" t="s">
        <v>409</v>
      </c>
      <c r="J268" s="298">
        <v>5000000</v>
      </c>
      <c r="K268" s="302" t="s">
        <v>261</v>
      </c>
      <c r="L268" s="303" t="s">
        <v>277</v>
      </c>
      <c r="M268" s="304">
        <v>1</v>
      </c>
      <c r="N268" s="304" t="s">
        <v>275</v>
      </c>
      <c r="O268" s="305" t="s">
        <v>279</v>
      </c>
      <c r="P268" s="301">
        <f t="shared" si="15"/>
        <v>5000000</v>
      </c>
      <c r="Q268" s="227" t="s">
        <v>261</v>
      </c>
    </row>
    <row r="269" spans="1:17" ht="17.45" customHeight="1">
      <c r="A269" s="148"/>
      <c r="B269" s="343"/>
      <c r="C269" s="226" t="s">
        <v>17</v>
      </c>
      <c r="D269" s="374">
        <v>300</v>
      </c>
      <c r="E269" s="374">
        <f t="shared" si="22"/>
        <v>300</v>
      </c>
      <c r="F269" s="224"/>
      <c r="G269" s="391">
        <f t="shared" si="24"/>
        <v>0</v>
      </c>
      <c r="H269" s="375">
        <f t="shared" si="25"/>
        <v>0</v>
      </c>
      <c r="I269" s="225" t="s">
        <v>45</v>
      </c>
      <c r="J269" s="298">
        <v>300000</v>
      </c>
      <c r="K269" s="302" t="s">
        <v>261</v>
      </c>
      <c r="L269" s="303" t="s">
        <v>277</v>
      </c>
      <c r="M269" s="304">
        <v>1</v>
      </c>
      <c r="N269" s="304" t="s">
        <v>275</v>
      </c>
      <c r="O269" s="305" t="s">
        <v>279</v>
      </c>
      <c r="P269" s="301">
        <f t="shared" si="15"/>
        <v>300000</v>
      </c>
      <c r="Q269" s="227" t="s">
        <v>261</v>
      </c>
    </row>
    <row r="270" spans="1:17" ht="17.45" customHeight="1">
      <c r="A270" s="148"/>
      <c r="B270" s="343"/>
      <c r="C270" s="226" t="s">
        <v>203</v>
      </c>
      <c r="D270" s="374">
        <v>300</v>
      </c>
      <c r="E270" s="374">
        <f t="shared" si="22"/>
        <v>300</v>
      </c>
      <c r="F270" s="224"/>
      <c r="G270" s="391">
        <f t="shared" si="24"/>
        <v>0</v>
      </c>
      <c r="H270" s="375">
        <f t="shared" si="25"/>
        <v>0</v>
      </c>
      <c r="I270" s="225" t="s">
        <v>45</v>
      </c>
      <c r="J270" s="301">
        <v>300000</v>
      </c>
      <c r="K270" s="302" t="s">
        <v>261</v>
      </c>
      <c r="L270" s="303" t="s">
        <v>277</v>
      </c>
      <c r="M270" s="304">
        <v>1</v>
      </c>
      <c r="N270" s="304" t="s">
        <v>275</v>
      </c>
      <c r="O270" s="305" t="s">
        <v>279</v>
      </c>
      <c r="P270" s="301">
        <f t="shared" si="15"/>
        <v>300000</v>
      </c>
      <c r="Q270" s="227" t="s">
        <v>261</v>
      </c>
    </row>
    <row r="271" spans="1:17" ht="17.45" customHeight="1">
      <c r="A271" s="148"/>
      <c r="B271" s="343"/>
      <c r="C271" s="226" t="s">
        <v>356</v>
      </c>
      <c r="D271" s="374">
        <v>600</v>
      </c>
      <c r="E271" s="374">
        <f t="shared" si="22"/>
        <v>600</v>
      </c>
      <c r="F271" s="224"/>
      <c r="G271" s="391">
        <f t="shared" si="24"/>
        <v>0</v>
      </c>
      <c r="H271" s="375">
        <f>+G271/D271*100</f>
        <v>0</v>
      </c>
      <c r="I271" s="225" t="s">
        <v>45</v>
      </c>
      <c r="J271" s="301">
        <v>600000</v>
      </c>
      <c r="K271" s="302" t="s">
        <v>261</v>
      </c>
      <c r="L271" s="303" t="s">
        <v>277</v>
      </c>
      <c r="M271" s="304">
        <v>1</v>
      </c>
      <c r="N271" s="304" t="s">
        <v>275</v>
      </c>
      <c r="O271" s="305" t="s">
        <v>279</v>
      </c>
      <c r="P271" s="301">
        <f t="shared" si="15"/>
        <v>600000</v>
      </c>
      <c r="Q271" s="227" t="s">
        <v>261</v>
      </c>
    </row>
    <row r="272" spans="1:17" ht="17.45" customHeight="1">
      <c r="A272" s="148"/>
      <c r="B272" s="343"/>
      <c r="C272" s="233" t="s">
        <v>257</v>
      </c>
      <c r="D272" s="374">
        <v>22706.89</v>
      </c>
      <c r="E272" s="374">
        <f t="shared" ref="E272:E277" si="26">P272/1000</f>
        <v>22706.89</v>
      </c>
      <c r="F272" s="224"/>
      <c r="G272" s="391">
        <f t="shared" ref="G272:G285" si="27">+E272-D272</f>
        <v>0</v>
      </c>
      <c r="H272" s="375">
        <f>+G272/D272*100</f>
        <v>0</v>
      </c>
      <c r="I272" s="230" t="s">
        <v>450</v>
      </c>
      <c r="J272" s="301">
        <v>11353445</v>
      </c>
      <c r="K272" s="302" t="s">
        <v>261</v>
      </c>
      <c r="L272" s="303" t="s">
        <v>277</v>
      </c>
      <c r="M272" s="304">
        <v>2</v>
      </c>
      <c r="N272" s="304" t="s">
        <v>275</v>
      </c>
      <c r="O272" s="305" t="s">
        <v>279</v>
      </c>
      <c r="P272" s="301">
        <f t="shared" si="15"/>
        <v>22706890</v>
      </c>
      <c r="Q272" s="227" t="s">
        <v>261</v>
      </c>
    </row>
    <row r="273" spans="1:17" ht="17.45" customHeight="1">
      <c r="A273" s="197"/>
      <c r="B273" s="352"/>
      <c r="C273" s="386" t="s">
        <v>23</v>
      </c>
      <c r="D273" s="373">
        <v>1200</v>
      </c>
      <c r="E273" s="373">
        <f t="shared" si="26"/>
        <v>1200</v>
      </c>
      <c r="F273" s="228"/>
      <c r="G273" s="369">
        <f t="shared" si="27"/>
        <v>0</v>
      </c>
      <c r="H273" s="370">
        <f>+G273/D273*100</f>
        <v>0</v>
      </c>
      <c r="I273" s="230" t="s">
        <v>409</v>
      </c>
      <c r="J273" s="301">
        <v>1200000</v>
      </c>
      <c r="K273" s="302" t="s">
        <v>261</v>
      </c>
      <c r="L273" s="303" t="s">
        <v>277</v>
      </c>
      <c r="M273" s="304">
        <v>1</v>
      </c>
      <c r="N273" s="304" t="s">
        <v>275</v>
      </c>
      <c r="O273" s="305" t="s">
        <v>279</v>
      </c>
      <c r="P273" s="301">
        <f t="shared" si="15"/>
        <v>1200000</v>
      </c>
      <c r="Q273" s="227" t="s">
        <v>261</v>
      </c>
    </row>
    <row r="274" spans="1:17" ht="17.45" customHeight="1">
      <c r="A274" s="197"/>
      <c r="B274" s="352"/>
      <c r="C274" s="386" t="s">
        <v>25</v>
      </c>
      <c r="D274" s="373">
        <v>300</v>
      </c>
      <c r="E274" s="373">
        <f t="shared" si="26"/>
        <v>300</v>
      </c>
      <c r="F274" s="228"/>
      <c r="G274" s="369">
        <f t="shared" si="27"/>
        <v>0</v>
      </c>
      <c r="H274" s="370">
        <f>+G274/D274*100</f>
        <v>0</v>
      </c>
      <c r="I274" s="225" t="s">
        <v>45</v>
      </c>
      <c r="J274" s="301">
        <v>300000</v>
      </c>
      <c r="K274" s="302" t="s">
        <v>261</v>
      </c>
      <c r="L274" s="303" t="s">
        <v>277</v>
      </c>
      <c r="M274" s="304">
        <v>1</v>
      </c>
      <c r="N274" s="304" t="s">
        <v>275</v>
      </c>
      <c r="O274" s="305" t="s">
        <v>279</v>
      </c>
      <c r="P274" s="301">
        <f t="shared" si="15"/>
        <v>300000</v>
      </c>
      <c r="Q274" s="227" t="s">
        <v>261</v>
      </c>
    </row>
    <row r="275" spans="1:17" ht="17.45" customHeight="1">
      <c r="A275" s="197"/>
      <c r="B275" s="352"/>
      <c r="C275" s="606" t="s">
        <v>240</v>
      </c>
      <c r="D275" s="372">
        <v>9992</v>
      </c>
      <c r="E275" s="373">
        <f t="shared" si="26"/>
        <v>22160</v>
      </c>
      <c r="F275" s="232"/>
      <c r="G275" s="369">
        <f t="shared" si="27"/>
        <v>12168</v>
      </c>
      <c r="H275" s="370">
        <f>G275/D275*100</f>
        <v>121.77742193755003</v>
      </c>
      <c r="I275" s="225" t="s">
        <v>408</v>
      </c>
      <c r="J275" s="301">
        <v>11080000</v>
      </c>
      <c r="K275" s="302" t="s">
        <v>261</v>
      </c>
      <c r="L275" s="303" t="s">
        <v>277</v>
      </c>
      <c r="M275" s="304">
        <v>2</v>
      </c>
      <c r="N275" s="304" t="s">
        <v>275</v>
      </c>
      <c r="O275" s="305" t="s">
        <v>279</v>
      </c>
      <c r="P275" s="301">
        <f t="shared" ref="P275:P305" si="28">J275*M275</f>
        <v>22160000</v>
      </c>
      <c r="Q275" s="227" t="s">
        <v>261</v>
      </c>
    </row>
    <row r="276" spans="1:17" ht="17.45" customHeight="1">
      <c r="A276" s="197"/>
      <c r="B276" s="352"/>
      <c r="C276" s="233" t="s">
        <v>151</v>
      </c>
      <c r="D276" s="374">
        <v>1200</v>
      </c>
      <c r="E276" s="374">
        <f t="shared" si="26"/>
        <v>4012.9859999999999</v>
      </c>
      <c r="F276" s="224"/>
      <c r="G276" s="391">
        <f t="shared" si="27"/>
        <v>2812.9859999999999</v>
      </c>
      <c r="H276" s="375">
        <f>G276/D276*100</f>
        <v>234.41549999999998</v>
      </c>
      <c r="I276" s="225" t="s">
        <v>45</v>
      </c>
      <c r="J276" s="301">
        <v>1337662</v>
      </c>
      <c r="K276" s="302" t="s">
        <v>261</v>
      </c>
      <c r="L276" s="303" t="s">
        <v>277</v>
      </c>
      <c r="M276" s="304">
        <v>3</v>
      </c>
      <c r="N276" s="304" t="s">
        <v>275</v>
      </c>
      <c r="O276" s="305" t="s">
        <v>279</v>
      </c>
      <c r="P276" s="301">
        <f t="shared" si="28"/>
        <v>4012986</v>
      </c>
      <c r="Q276" s="227" t="s">
        <v>261</v>
      </c>
    </row>
    <row r="277" spans="1:17" ht="17.45" customHeight="1">
      <c r="A277" s="197"/>
      <c r="B277" s="352"/>
      <c r="C277" s="385" t="s">
        <v>249</v>
      </c>
      <c r="D277" s="372">
        <v>1800</v>
      </c>
      <c r="E277" s="373">
        <f t="shared" si="26"/>
        <v>2200</v>
      </c>
      <c r="F277" s="232"/>
      <c r="G277" s="369">
        <f t="shared" si="27"/>
        <v>400</v>
      </c>
      <c r="H277" s="370">
        <f t="shared" ref="H277:H282" si="29">+G277/D277*100</f>
        <v>22.222222222222221</v>
      </c>
      <c r="I277" s="230" t="s">
        <v>45</v>
      </c>
      <c r="J277" s="301">
        <v>1100000</v>
      </c>
      <c r="K277" s="302" t="s">
        <v>261</v>
      </c>
      <c r="L277" s="303" t="s">
        <v>277</v>
      </c>
      <c r="M277" s="304">
        <v>2</v>
      </c>
      <c r="N277" s="304" t="s">
        <v>275</v>
      </c>
      <c r="O277" s="305" t="s">
        <v>279</v>
      </c>
      <c r="P277" s="301">
        <f t="shared" si="28"/>
        <v>2200000</v>
      </c>
      <c r="Q277" s="227" t="s">
        <v>261</v>
      </c>
    </row>
    <row r="278" spans="1:17" ht="17.45" customHeight="1">
      <c r="A278" s="148"/>
      <c r="B278" s="343"/>
      <c r="C278" s="377" t="s">
        <v>202</v>
      </c>
      <c r="D278" s="371">
        <v>1200</v>
      </c>
      <c r="E278" s="374">
        <f t="shared" ref="E278:E287" si="30">P278/1000</f>
        <v>1200</v>
      </c>
      <c r="F278" s="231"/>
      <c r="G278" s="391">
        <f t="shared" si="27"/>
        <v>0</v>
      </c>
      <c r="H278" s="375">
        <f t="shared" si="29"/>
        <v>0</v>
      </c>
      <c r="I278" s="225" t="s">
        <v>45</v>
      </c>
      <c r="J278" s="301">
        <v>1200000</v>
      </c>
      <c r="K278" s="302" t="s">
        <v>261</v>
      </c>
      <c r="L278" s="303" t="s">
        <v>277</v>
      </c>
      <c r="M278" s="304">
        <v>1</v>
      </c>
      <c r="N278" s="304" t="s">
        <v>275</v>
      </c>
      <c r="O278" s="305" t="s">
        <v>279</v>
      </c>
      <c r="P278" s="301">
        <f t="shared" si="28"/>
        <v>1200000</v>
      </c>
      <c r="Q278" s="227" t="s">
        <v>261</v>
      </c>
    </row>
    <row r="279" spans="1:17" ht="17.45" customHeight="1">
      <c r="A279" s="148"/>
      <c r="B279" s="343"/>
      <c r="C279" s="377" t="s">
        <v>448</v>
      </c>
      <c r="D279" s="283">
        <v>3000</v>
      </c>
      <c r="E279" s="374">
        <f t="shared" si="30"/>
        <v>3000</v>
      </c>
      <c r="F279" s="231"/>
      <c r="G279" s="391">
        <f t="shared" si="27"/>
        <v>0</v>
      </c>
      <c r="H279" s="282" t="s">
        <v>449</v>
      </c>
      <c r="I279" s="225" t="s">
        <v>45</v>
      </c>
      <c r="J279" s="301">
        <v>750000</v>
      </c>
      <c r="K279" s="302" t="s">
        <v>261</v>
      </c>
      <c r="L279" s="303" t="s">
        <v>277</v>
      </c>
      <c r="M279" s="304">
        <v>4</v>
      </c>
      <c r="N279" s="304" t="s">
        <v>275</v>
      </c>
      <c r="O279" s="305" t="s">
        <v>279</v>
      </c>
      <c r="P279" s="301">
        <f t="shared" ref="P279" si="31">J279*M279</f>
        <v>3000000</v>
      </c>
      <c r="Q279" s="227" t="s">
        <v>261</v>
      </c>
    </row>
    <row r="280" spans="1:17" ht="17.45" customHeight="1">
      <c r="A280" s="148"/>
      <c r="B280" s="343"/>
      <c r="C280" s="226" t="s">
        <v>437</v>
      </c>
      <c r="D280" s="374">
        <v>9400</v>
      </c>
      <c r="E280" s="374">
        <f t="shared" si="30"/>
        <v>9400</v>
      </c>
      <c r="F280" s="224"/>
      <c r="G280" s="391">
        <f t="shared" si="27"/>
        <v>0</v>
      </c>
      <c r="H280" s="375">
        <f t="shared" si="29"/>
        <v>0</v>
      </c>
      <c r="I280" s="327" t="s">
        <v>408</v>
      </c>
      <c r="J280" s="65">
        <v>4700000</v>
      </c>
      <c r="K280" s="236" t="s">
        <v>261</v>
      </c>
      <c r="L280" s="237" t="s">
        <v>277</v>
      </c>
      <c r="M280" s="238">
        <v>2</v>
      </c>
      <c r="N280" s="238" t="s">
        <v>275</v>
      </c>
      <c r="O280" s="239" t="s">
        <v>279</v>
      </c>
      <c r="P280" s="65">
        <f t="shared" si="28"/>
        <v>9400000</v>
      </c>
      <c r="Q280" s="229" t="s">
        <v>261</v>
      </c>
    </row>
    <row r="281" spans="1:17" ht="17.45" customHeight="1">
      <c r="A281" s="197" t="s">
        <v>477</v>
      </c>
      <c r="B281" s="352" t="s">
        <v>477</v>
      </c>
      <c r="C281" s="379" t="s">
        <v>159</v>
      </c>
      <c r="D281" s="373">
        <v>10000</v>
      </c>
      <c r="E281" s="373">
        <f t="shared" si="30"/>
        <v>10000</v>
      </c>
      <c r="F281" s="228"/>
      <c r="G281" s="369">
        <f t="shared" si="27"/>
        <v>0</v>
      </c>
      <c r="H281" s="370">
        <f t="shared" si="29"/>
        <v>0</v>
      </c>
      <c r="I281" s="230" t="s">
        <v>45</v>
      </c>
      <c r="J281" s="301">
        <v>2500000</v>
      </c>
      <c r="K281" s="302" t="s">
        <v>261</v>
      </c>
      <c r="L281" s="303" t="s">
        <v>277</v>
      </c>
      <c r="M281" s="304">
        <v>4</v>
      </c>
      <c r="N281" s="304" t="s">
        <v>275</v>
      </c>
      <c r="O281" s="305" t="s">
        <v>279</v>
      </c>
      <c r="P281" s="301">
        <f t="shared" si="28"/>
        <v>10000000</v>
      </c>
      <c r="Q281" s="227" t="s">
        <v>261</v>
      </c>
    </row>
    <row r="282" spans="1:17" ht="17.45" customHeight="1">
      <c r="A282" s="148"/>
      <c r="B282" s="343"/>
      <c r="C282" s="386" t="s">
        <v>217</v>
      </c>
      <c r="D282" s="373">
        <v>5230.1099999999997</v>
      </c>
      <c r="E282" s="373">
        <f t="shared" si="30"/>
        <v>5230.1099999999997</v>
      </c>
      <c r="F282" s="228"/>
      <c r="G282" s="369">
        <f t="shared" si="27"/>
        <v>0</v>
      </c>
      <c r="H282" s="370">
        <f t="shared" si="29"/>
        <v>0</v>
      </c>
      <c r="I282" s="230" t="s">
        <v>450</v>
      </c>
      <c r="J282" s="301">
        <v>2615055</v>
      </c>
      <c r="K282" s="302" t="s">
        <v>261</v>
      </c>
      <c r="L282" s="303" t="s">
        <v>277</v>
      </c>
      <c r="M282" s="304">
        <v>2</v>
      </c>
      <c r="N282" s="304" t="s">
        <v>275</v>
      </c>
      <c r="O282" s="305" t="s">
        <v>279</v>
      </c>
      <c r="P282" s="301">
        <f t="shared" si="28"/>
        <v>5230110</v>
      </c>
      <c r="Q282" s="227" t="s">
        <v>261</v>
      </c>
    </row>
    <row r="283" spans="1:17" ht="17.45" customHeight="1">
      <c r="A283" s="197"/>
      <c r="B283" s="352"/>
      <c r="C283" s="378" t="s">
        <v>174</v>
      </c>
      <c r="D283" s="372">
        <v>24423.189990000003</v>
      </c>
      <c r="E283" s="373">
        <f t="shared" si="30"/>
        <v>28432.39</v>
      </c>
      <c r="F283" s="232"/>
      <c r="G283" s="369">
        <f t="shared" si="27"/>
        <v>4009.2000099999968</v>
      </c>
      <c r="H283" s="370">
        <f>G283/D283*100</f>
        <v>16.415546092224442</v>
      </c>
      <c r="I283" s="230" t="s">
        <v>451</v>
      </c>
      <c r="J283" s="301">
        <v>7108097.5</v>
      </c>
      <c r="K283" s="302" t="s">
        <v>261</v>
      </c>
      <c r="L283" s="303" t="s">
        <v>277</v>
      </c>
      <c r="M283" s="304">
        <v>4</v>
      </c>
      <c r="N283" s="304" t="s">
        <v>275</v>
      </c>
      <c r="O283" s="305" t="s">
        <v>279</v>
      </c>
      <c r="P283" s="301">
        <f t="shared" si="28"/>
        <v>28432390</v>
      </c>
      <c r="Q283" s="227" t="s">
        <v>261</v>
      </c>
    </row>
    <row r="284" spans="1:17" ht="17.45" customHeight="1">
      <c r="A284" s="148"/>
      <c r="B284" s="343"/>
      <c r="C284" s="377" t="s">
        <v>150</v>
      </c>
      <c r="D284" s="371">
        <v>300</v>
      </c>
      <c r="E284" s="374">
        <f t="shared" si="30"/>
        <v>300</v>
      </c>
      <c r="F284" s="231"/>
      <c r="G284" s="391">
        <f t="shared" si="27"/>
        <v>0</v>
      </c>
      <c r="H284" s="375">
        <f>G284/D284*100</f>
        <v>0</v>
      </c>
      <c r="I284" s="225" t="s">
        <v>45</v>
      </c>
      <c r="J284" s="301">
        <v>300000</v>
      </c>
      <c r="K284" s="302" t="s">
        <v>261</v>
      </c>
      <c r="L284" s="303" t="s">
        <v>277</v>
      </c>
      <c r="M284" s="304">
        <v>1</v>
      </c>
      <c r="N284" s="304" t="s">
        <v>275</v>
      </c>
      <c r="O284" s="305" t="s">
        <v>279</v>
      </c>
      <c r="P284" s="301">
        <f t="shared" si="28"/>
        <v>300000</v>
      </c>
      <c r="Q284" s="227" t="s">
        <v>261</v>
      </c>
    </row>
    <row r="285" spans="1:17" ht="17.45" customHeight="1">
      <c r="A285" s="148"/>
      <c r="B285" s="343"/>
      <c r="C285" s="377" t="s">
        <v>182</v>
      </c>
      <c r="D285" s="371">
        <v>4300</v>
      </c>
      <c r="E285" s="374">
        <f t="shared" si="30"/>
        <v>4300</v>
      </c>
      <c r="F285" s="231"/>
      <c r="G285" s="391">
        <f t="shared" si="27"/>
        <v>0</v>
      </c>
      <c r="H285" s="375">
        <f>G285/D285*100</f>
        <v>0</v>
      </c>
      <c r="I285" s="225" t="s">
        <v>408</v>
      </c>
      <c r="J285" s="301">
        <v>2150000</v>
      </c>
      <c r="K285" s="302" t="s">
        <v>261</v>
      </c>
      <c r="L285" s="303" t="s">
        <v>277</v>
      </c>
      <c r="M285" s="304">
        <v>2</v>
      </c>
      <c r="N285" s="304" t="s">
        <v>275</v>
      </c>
      <c r="O285" s="305" t="s">
        <v>279</v>
      </c>
      <c r="P285" s="301">
        <f t="shared" si="28"/>
        <v>4300000</v>
      </c>
      <c r="Q285" s="227" t="s">
        <v>261</v>
      </c>
    </row>
    <row r="286" spans="1:17" ht="17.45" customHeight="1">
      <c r="A286" s="148"/>
      <c r="B286" s="343"/>
      <c r="C286" s="377" t="s">
        <v>163</v>
      </c>
      <c r="D286" s="371">
        <v>13300</v>
      </c>
      <c r="E286" s="374">
        <f t="shared" si="30"/>
        <v>13300</v>
      </c>
      <c r="F286" s="231"/>
      <c r="G286" s="391">
        <f t="shared" ref="G286:G298" si="32">+E286-D286</f>
        <v>0</v>
      </c>
      <c r="H286" s="375">
        <f>G286/D286*100</f>
        <v>0</v>
      </c>
      <c r="I286" s="225" t="s">
        <v>408</v>
      </c>
      <c r="J286" s="301">
        <v>6650000</v>
      </c>
      <c r="K286" s="302" t="s">
        <v>261</v>
      </c>
      <c r="L286" s="303" t="s">
        <v>277</v>
      </c>
      <c r="M286" s="304">
        <v>2</v>
      </c>
      <c r="N286" s="304" t="s">
        <v>275</v>
      </c>
      <c r="O286" s="305" t="s">
        <v>279</v>
      </c>
      <c r="P286" s="301">
        <f t="shared" si="28"/>
        <v>13300000</v>
      </c>
      <c r="Q286" s="227" t="s">
        <v>261</v>
      </c>
    </row>
    <row r="287" spans="1:17" ht="17.45" customHeight="1">
      <c r="A287" s="148"/>
      <c r="B287" s="343"/>
      <c r="C287" s="377" t="s">
        <v>166</v>
      </c>
      <c r="D287" s="371">
        <v>300</v>
      </c>
      <c r="E287" s="374">
        <f t="shared" si="30"/>
        <v>300</v>
      </c>
      <c r="F287" s="231"/>
      <c r="G287" s="391">
        <f t="shared" si="32"/>
        <v>0</v>
      </c>
      <c r="H287" s="375">
        <f>G287/D287*100</f>
        <v>0</v>
      </c>
      <c r="I287" s="225" t="s">
        <v>409</v>
      </c>
      <c r="J287" s="301">
        <v>300000</v>
      </c>
      <c r="K287" s="302" t="s">
        <v>261</v>
      </c>
      <c r="L287" s="303" t="s">
        <v>277</v>
      </c>
      <c r="M287" s="304">
        <v>1</v>
      </c>
      <c r="N287" s="304" t="s">
        <v>275</v>
      </c>
      <c r="O287" s="305" t="s">
        <v>279</v>
      </c>
      <c r="P287" s="301">
        <f t="shared" si="28"/>
        <v>300000</v>
      </c>
      <c r="Q287" s="227" t="s">
        <v>261</v>
      </c>
    </row>
    <row r="288" spans="1:17" ht="17.45" customHeight="1">
      <c r="A288" s="148"/>
      <c r="B288" s="343"/>
      <c r="C288" s="384" t="s">
        <v>237</v>
      </c>
      <c r="D288" s="371">
        <v>34000</v>
      </c>
      <c r="E288" s="374">
        <f t="shared" ref="E288:E298" si="33">P288/1000</f>
        <v>34000</v>
      </c>
      <c r="F288" s="231"/>
      <c r="G288" s="391">
        <f t="shared" si="32"/>
        <v>0</v>
      </c>
      <c r="H288" s="375">
        <f t="shared" ref="H288:H294" si="34">+G288/D288*100</f>
        <v>0</v>
      </c>
      <c r="I288" s="225" t="s">
        <v>45</v>
      </c>
      <c r="J288" s="301">
        <v>8500000</v>
      </c>
      <c r="K288" s="302" t="s">
        <v>261</v>
      </c>
      <c r="L288" s="303" t="s">
        <v>277</v>
      </c>
      <c r="M288" s="304">
        <v>4</v>
      </c>
      <c r="N288" s="304" t="s">
        <v>275</v>
      </c>
      <c r="O288" s="305" t="s">
        <v>279</v>
      </c>
      <c r="P288" s="301">
        <f t="shared" si="28"/>
        <v>34000000</v>
      </c>
      <c r="Q288" s="227" t="s">
        <v>261</v>
      </c>
    </row>
    <row r="289" spans="1:17" ht="17.45" customHeight="1">
      <c r="A289" s="148"/>
      <c r="B289" s="343"/>
      <c r="C289" s="384" t="s">
        <v>365</v>
      </c>
      <c r="D289" s="371">
        <v>300</v>
      </c>
      <c r="E289" s="374">
        <f t="shared" si="33"/>
        <v>300</v>
      </c>
      <c r="F289" s="231"/>
      <c r="G289" s="391">
        <f t="shared" si="32"/>
        <v>0</v>
      </c>
      <c r="H289" s="375">
        <f t="shared" si="34"/>
        <v>0</v>
      </c>
      <c r="I289" s="225" t="s">
        <v>409</v>
      </c>
      <c r="J289" s="301">
        <v>300000</v>
      </c>
      <c r="K289" s="302" t="s">
        <v>261</v>
      </c>
      <c r="L289" s="303" t="s">
        <v>277</v>
      </c>
      <c r="M289" s="304">
        <v>1</v>
      </c>
      <c r="N289" s="304" t="s">
        <v>275</v>
      </c>
      <c r="O289" s="305" t="s">
        <v>279</v>
      </c>
      <c r="P289" s="301">
        <f t="shared" si="28"/>
        <v>300000</v>
      </c>
      <c r="Q289" s="227" t="s">
        <v>261</v>
      </c>
    </row>
    <row r="290" spans="1:17" ht="17.45" customHeight="1">
      <c r="A290" s="148"/>
      <c r="B290" s="343"/>
      <c r="C290" s="384" t="s">
        <v>241</v>
      </c>
      <c r="D290" s="371">
        <v>5000</v>
      </c>
      <c r="E290" s="374">
        <f t="shared" si="33"/>
        <v>5000</v>
      </c>
      <c r="F290" s="231"/>
      <c r="G290" s="391">
        <f t="shared" si="32"/>
        <v>0</v>
      </c>
      <c r="H290" s="375">
        <f t="shared" si="34"/>
        <v>0</v>
      </c>
      <c r="I290" s="225" t="s">
        <v>45</v>
      </c>
      <c r="J290" s="301">
        <v>1250000</v>
      </c>
      <c r="K290" s="302" t="s">
        <v>261</v>
      </c>
      <c r="L290" s="303" t="s">
        <v>277</v>
      </c>
      <c r="M290" s="304">
        <v>4</v>
      </c>
      <c r="N290" s="304" t="s">
        <v>275</v>
      </c>
      <c r="O290" s="305" t="s">
        <v>279</v>
      </c>
      <c r="P290" s="301">
        <f t="shared" si="28"/>
        <v>5000000</v>
      </c>
      <c r="Q290" s="227" t="s">
        <v>261</v>
      </c>
    </row>
    <row r="291" spans="1:17" ht="17.45" customHeight="1">
      <c r="A291" s="148"/>
      <c r="B291" s="343"/>
      <c r="C291" s="384" t="s">
        <v>374</v>
      </c>
      <c r="D291" s="371">
        <v>47937.74</v>
      </c>
      <c r="E291" s="374">
        <f t="shared" si="33"/>
        <v>47937.74</v>
      </c>
      <c r="F291" s="231"/>
      <c r="G291" s="391">
        <f t="shared" si="32"/>
        <v>0</v>
      </c>
      <c r="H291" s="375">
        <v>0</v>
      </c>
      <c r="I291" s="230" t="s">
        <v>450</v>
      </c>
      <c r="J291" s="301">
        <v>23968870</v>
      </c>
      <c r="K291" s="302" t="s">
        <v>261</v>
      </c>
      <c r="L291" s="303" t="s">
        <v>277</v>
      </c>
      <c r="M291" s="304">
        <v>2</v>
      </c>
      <c r="N291" s="304" t="s">
        <v>275</v>
      </c>
      <c r="O291" s="305" t="s">
        <v>279</v>
      </c>
      <c r="P291" s="301">
        <f t="shared" si="28"/>
        <v>47937740</v>
      </c>
      <c r="Q291" s="227" t="s">
        <v>261</v>
      </c>
    </row>
    <row r="292" spans="1:17" ht="17.45" customHeight="1">
      <c r="A292" s="197"/>
      <c r="B292" s="352"/>
      <c r="C292" s="384" t="s">
        <v>381</v>
      </c>
      <c r="D292" s="371">
        <v>89886.16</v>
      </c>
      <c r="E292" s="374">
        <f t="shared" si="33"/>
        <v>89886.16</v>
      </c>
      <c r="F292" s="231"/>
      <c r="G292" s="391">
        <f t="shared" si="32"/>
        <v>0</v>
      </c>
      <c r="H292" s="375">
        <f t="shared" si="34"/>
        <v>0</v>
      </c>
      <c r="I292" s="230" t="s">
        <v>450</v>
      </c>
      <c r="J292" s="301">
        <v>17977232</v>
      </c>
      <c r="K292" s="302" t="s">
        <v>261</v>
      </c>
      <c r="L292" s="303" t="s">
        <v>277</v>
      </c>
      <c r="M292" s="304">
        <v>5</v>
      </c>
      <c r="N292" s="304" t="s">
        <v>275</v>
      </c>
      <c r="O292" s="305" t="s">
        <v>279</v>
      </c>
      <c r="P292" s="301">
        <f t="shared" si="28"/>
        <v>89886160</v>
      </c>
      <c r="Q292" s="227" t="s">
        <v>261</v>
      </c>
    </row>
    <row r="293" spans="1:17" ht="17.45" customHeight="1">
      <c r="A293" s="148"/>
      <c r="B293" s="343"/>
      <c r="C293" s="377" t="s">
        <v>145</v>
      </c>
      <c r="D293" s="371">
        <v>8850</v>
      </c>
      <c r="E293" s="374">
        <f t="shared" si="33"/>
        <v>8850</v>
      </c>
      <c r="F293" s="231"/>
      <c r="G293" s="391">
        <f t="shared" si="32"/>
        <v>0</v>
      </c>
      <c r="H293" s="375">
        <f t="shared" si="34"/>
        <v>0</v>
      </c>
      <c r="I293" s="225" t="s">
        <v>408</v>
      </c>
      <c r="J293" s="301">
        <v>2950000</v>
      </c>
      <c r="K293" s="302" t="s">
        <v>261</v>
      </c>
      <c r="L293" s="303" t="s">
        <v>277</v>
      </c>
      <c r="M293" s="304">
        <v>3</v>
      </c>
      <c r="N293" s="304" t="s">
        <v>275</v>
      </c>
      <c r="O293" s="305" t="s">
        <v>279</v>
      </c>
      <c r="P293" s="301">
        <f t="shared" si="28"/>
        <v>8850000</v>
      </c>
      <c r="Q293" s="227" t="s">
        <v>261</v>
      </c>
    </row>
    <row r="294" spans="1:17" ht="17.45" customHeight="1">
      <c r="A294" s="148"/>
      <c r="B294" s="343"/>
      <c r="C294" s="384" t="s">
        <v>360</v>
      </c>
      <c r="D294" s="371">
        <v>300</v>
      </c>
      <c r="E294" s="374">
        <f t="shared" si="33"/>
        <v>300</v>
      </c>
      <c r="F294" s="231"/>
      <c r="G294" s="391">
        <f t="shared" si="32"/>
        <v>0</v>
      </c>
      <c r="H294" s="375">
        <f t="shared" si="34"/>
        <v>0</v>
      </c>
      <c r="I294" s="225" t="s">
        <v>45</v>
      </c>
      <c r="J294" s="301">
        <v>300000</v>
      </c>
      <c r="K294" s="302" t="s">
        <v>261</v>
      </c>
      <c r="L294" s="303" t="s">
        <v>277</v>
      </c>
      <c r="M294" s="304">
        <v>1</v>
      </c>
      <c r="N294" s="304" t="s">
        <v>275</v>
      </c>
      <c r="O294" s="305" t="s">
        <v>279</v>
      </c>
      <c r="P294" s="301">
        <f t="shared" si="28"/>
        <v>300000</v>
      </c>
      <c r="Q294" s="227" t="s">
        <v>261</v>
      </c>
    </row>
    <row r="295" spans="1:17" ht="17.45" customHeight="1">
      <c r="A295" s="148"/>
      <c r="B295" s="343"/>
      <c r="C295" s="384" t="s">
        <v>376</v>
      </c>
      <c r="D295" s="371">
        <v>600</v>
      </c>
      <c r="E295" s="374">
        <f t="shared" si="33"/>
        <v>600</v>
      </c>
      <c r="F295" s="231"/>
      <c r="G295" s="391">
        <f t="shared" si="32"/>
        <v>0</v>
      </c>
      <c r="H295" s="375">
        <f>G295/D295*100</f>
        <v>0</v>
      </c>
      <c r="I295" s="225" t="s">
        <v>45</v>
      </c>
      <c r="J295" s="301">
        <v>600000</v>
      </c>
      <c r="K295" s="302" t="s">
        <v>261</v>
      </c>
      <c r="L295" s="303" t="s">
        <v>277</v>
      </c>
      <c r="M295" s="304">
        <v>1</v>
      </c>
      <c r="N295" s="304" t="s">
        <v>275</v>
      </c>
      <c r="O295" s="305" t="s">
        <v>279</v>
      </c>
      <c r="P295" s="301">
        <f t="shared" si="28"/>
        <v>600000</v>
      </c>
      <c r="Q295" s="227" t="s">
        <v>261</v>
      </c>
    </row>
    <row r="296" spans="1:17" ht="17.45" customHeight="1">
      <c r="A296" s="148"/>
      <c r="B296" s="343"/>
      <c r="C296" s="226" t="s">
        <v>232</v>
      </c>
      <c r="D296" s="371">
        <v>3300</v>
      </c>
      <c r="E296" s="374">
        <f t="shared" si="33"/>
        <v>3300</v>
      </c>
      <c r="F296" s="231"/>
      <c r="G296" s="391">
        <f t="shared" si="32"/>
        <v>0</v>
      </c>
      <c r="H296" s="375">
        <f>G296/D296*100</f>
        <v>0</v>
      </c>
      <c r="I296" s="225" t="s">
        <v>409</v>
      </c>
      <c r="J296" s="301">
        <v>3300000</v>
      </c>
      <c r="K296" s="302" t="s">
        <v>261</v>
      </c>
      <c r="L296" s="303" t="s">
        <v>277</v>
      </c>
      <c r="M296" s="304">
        <v>1</v>
      </c>
      <c r="N296" s="304" t="s">
        <v>275</v>
      </c>
      <c r="O296" s="305" t="s">
        <v>279</v>
      </c>
      <c r="P296" s="301">
        <f t="shared" si="28"/>
        <v>3300000</v>
      </c>
      <c r="Q296" s="227" t="s">
        <v>261</v>
      </c>
    </row>
    <row r="297" spans="1:17" ht="17.45" customHeight="1">
      <c r="A297" s="148"/>
      <c r="B297" s="343"/>
      <c r="C297" s="226" t="s">
        <v>26</v>
      </c>
      <c r="D297" s="371">
        <v>1200</v>
      </c>
      <c r="E297" s="374">
        <f t="shared" si="33"/>
        <v>1200</v>
      </c>
      <c r="F297" s="231"/>
      <c r="G297" s="391">
        <f t="shared" si="32"/>
        <v>0</v>
      </c>
      <c r="H297" s="375">
        <f>G297/D297*100</f>
        <v>0</v>
      </c>
      <c r="I297" s="225" t="s">
        <v>45</v>
      </c>
      <c r="J297" s="301">
        <v>1200000</v>
      </c>
      <c r="K297" s="302" t="s">
        <v>261</v>
      </c>
      <c r="L297" s="303" t="s">
        <v>277</v>
      </c>
      <c r="M297" s="304">
        <v>1</v>
      </c>
      <c r="N297" s="304" t="s">
        <v>275</v>
      </c>
      <c r="O297" s="305" t="s">
        <v>279</v>
      </c>
      <c r="P297" s="301">
        <f t="shared" si="28"/>
        <v>1200000</v>
      </c>
      <c r="Q297" s="227" t="s">
        <v>261</v>
      </c>
    </row>
    <row r="298" spans="1:17" ht="17.45" customHeight="1">
      <c r="A298" s="148"/>
      <c r="B298" s="343"/>
      <c r="C298" s="384" t="s">
        <v>395</v>
      </c>
      <c r="D298" s="371">
        <v>3765</v>
      </c>
      <c r="E298" s="374">
        <f t="shared" si="33"/>
        <v>3765</v>
      </c>
      <c r="F298" s="231"/>
      <c r="G298" s="391">
        <f t="shared" si="32"/>
        <v>0</v>
      </c>
      <c r="H298" s="375">
        <f>G298/D298*100</f>
        <v>0</v>
      </c>
      <c r="I298" s="225" t="s">
        <v>408</v>
      </c>
      <c r="J298" s="301">
        <v>1882500</v>
      </c>
      <c r="K298" s="302" t="s">
        <v>261</v>
      </c>
      <c r="L298" s="303" t="s">
        <v>277</v>
      </c>
      <c r="M298" s="304">
        <v>2</v>
      </c>
      <c r="N298" s="304" t="s">
        <v>275</v>
      </c>
      <c r="O298" s="305" t="s">
        <v>279</v>
      </c>
      <c r="P298" s="301">
        <f t="shared" si="28"/>
        <v>3765000</v>
      </c>
      <c r="Q298" s="227" t="s">
        <v>261</v>
      </c>
    </row>
    <row r="299" spans="1:17" ht="17.45" customHeight="1">
      <c r="A299" s="148"/>
      <c r="B299" s="343"/>
      <c r="C299" s="377" t="s">
        <v>89</v>
      </c>
      <c r="D299" s="371">
        <v>7400</v>
      </c>
      <c r="E299" s="374">
        <f>P299/1000</f>
        <v>7400</v>
      </c>
      <c r="F299" s="231"/>
      <c r="G299" s="391">
        <f t="shared" ref="G299:G310" si="35">+E299-D299</f>
        <v>0</v>
      </c>
      <c r="H299" s="375">
        <f t="shared" ref="H299:H305" si="36">+G299/D299*100</f>
        <v>0</v>
      </c>
      <c r="I299" s="225" t="s">
        <v>408</v>
      </c>
      <c r="J299" s="301">
        <v>3700000</v>
      </c>
      <c r="K299" s="302" t="s">
        <v>261</v>
      </c>
      <c r="L299" s="303" t="s">
        <v>277</v>
      </c>
      <c r="M299" s="304">
        <v>2</v>
      </c>
      <c r="N299" s="304" t="s">
        <v>275</v>
      </c>
      <c r="O299" s="305" t="s">
        <v>279</v>
      </c>
      <c r="P299" s="301">
        <f t="shared" si="28"/>
        <v>7400000</v>
      </c>
      <c r="Q299" s="227" t="s">
        <v>261</v>
      </c>
    </row>
    <row r="300" spans="1:17" ht="17.45" customHeight="1">
      <c r="A300" s="148"/>
      <c r="B300" s="343"/>
      <c r="C300" s="377" t="s">
        <v>198</v>
      </c>
      <c r="D300" s="367">
        <v>19479.999993999998</v>
      </c>
      <c r="E300" s="374">
        <f t="shared" ref="E300:E305" si="37">P300/1000</f>
        <v>19479.999993999998</v>
      </c>
      <c r="F300" s="231"/>
      <c r="G300" s="391">
        <f t="shared" si="35"/>
        <v>0</v>
      </c>
      <c r="H300" s="375">
        <f t="shared" si="36"/>
        <v>0</v>
      </c>
      <c r="I300" s="225" t="s">
        <v>408</v>
      </c>
      <c r="J300" s="301">
        <v>1498461.5379999999</v>
      </c>
      <c r="K300" s="302" t="s">
        <v>261</v>
      </c>
      <c r="L300" s="303" t="s">
        <v>277</v>
      </c>
      <c r="M300" s="304">
        <v>13</v>
      </c>
      <c r="N300" s="304" t="s">
        <v>275</v>
      </c>
      <c r="O300" s="305" t="s">
        <v>279</v>
      </c>
      <c r="P300" s="301">
        <f>J300*M300</f>
        <v>19479999.993999999</v>
      </c>
      <c r="Q300" s="227" t="s">
        <v>261</v>
      </c>
    </row>
    <row r="301" spans="1:17" ht="17.45" customHeight="1">
      <c r="A301" s="148"/>
      <c r="B301" s="343"/>
      <c r="C301" s="377" t="s">
        <v>35</v>
      </c>
      <c r="D301" s="367">
        <v>9516.9999989999997</v>
      </c>
      <c r="E301" s="374">
        <f t="shared" si="37"/>
        <v>9516.9999989999997</v>
      </c>
      <c r="F301" s="231"/>
      <c r="G301" s="391">
        <f t="shared" si="35"/>
        <v>0</v>
      </c>
      <c r="H301" s="375">
        <f t="shared" si="36"/>
        <v>0</v>
      </c>
      <c r="I301" s="225" t="s">
        <v>408</v>
      </c>
      <c r="J301" s="301">
        <v>732076.92299999995</v>
      </c>
      <c r="K301" s="302" t="s">
        <v>261</v>
      </c>
      <c r="L301" s="303" t="s">
        <v>277</v>
      </c>
      <c r="M301" s="304">
        <v>13</v>
      </c>
      <c r="N301" s="304" t="s">
        <v>275</v>
      </c>
      <c r="O301" s="305" t="s">
        <v>279</v>
      </c>
      <c r="P301" s="301">
        <f>J301*M301</f>
        <v>9516999.9989999998</v>
      </c>
      <c r="Q301" s="227" t="s">
        <v>261</v>
      </c>
    </row>
    <row r="302" spans="1:17" ht="17.45" customHeight="1">
      <c r="A302" s="148"/>
      <c r="B302" s="343"/>
      <c r="C302" s="388" t="s">
        <v>228</v>
      </c>
      <c r="D302" s="374">
        <v>2100</v>
      </c>
      <c r="E302" s="374">
        <f t="shared" si="37"/>
        <v>2100</v>
      </c>
      <c r="F302" s="224"/>
      <c r="G302" s="391">
        <f t="shared" si="35"/>
        <v>0</v>
      </c>
      <c r="H302" s="375">
        <f t="shared" si="36"/>
        <v>0</v>
      </c>
      <c r="I302" s="225" t="s">
        <v>409</v>
      </c>
      <c r="J302" s="301">
        <v>2100000</v>
      </c>
      <c r="K302" s="302" t="s">
        <v>261</v>
      </c>
      <c r="L302" s="303" t="s">
        <v>277</v>
      </c>
      <c r="M302" s="304">
        <v>1</v>
      </c>
      <c r="N302" s="304" t="s">
        <v>275</v>
      </c>
      <c r="O302" s="305" t="s">
        <v>279</v>
      </c>
      <c r="P302" s="301">
        <f t="shared" si="28"/>
        <v>2100000</v>
      </c>
      <c r="Q302" s="227" t="s">
        <v>261</v>
      </c>
    </row>
    <row r="303" spans="1:17" ht="17.45" customHeight="1">
      <c r="A303" s="148"/>
      <c r="B303" s="343"/>
      <c r="C303" s="388" t="s">
        <v>206</v>
      </c>
      <c r="D303" s="374">
        <v>8286</v>
      </c>
      <c r="E303" s="374">
        <f t="shared" si="37"/>
        <v>8286</v>
      </c>
      <c r="F303" s="231"/>
      <c r="G303" s="391">
        <f t="shared" si="35"/>
        <v>0</v>
      </c>
      <c r="H303" s="375">
        <f t="shared" si="36"/>
        <v>0</v>
      </c>
      <c r="I303" s="225" t="s">
        <v>408</v>
      </c>
      <c r="J303" s="301">
        <v>4143000</v>
      </c>
      <c r="K303" s="302" t="s">
        <v>261</v>
      </c>
      <c r="L303" s="303" t="s">
        <v>277</v>
      </c>
      <c r="M303" s="304">
        <v>2</v>
      </c>
      <c r="N303" s="304" t="s">
        <v>275</v>
      </c>
      <c r="O303" s="305" t="s">
        <v>279</v>
      </c>
      <c r="P303" s="301">
        <f t="shared" si="28"/>
        <v>8286000</v>
      </c>
      <c r="Q303" s="227" t="s">
        <v>261</v>
      </c>
    </row>
    <row r="304" spans="1:17" ht="17.45" customHeight="1">
      <c r="A304" s="148"/>
      <c r="B304" s="343"/>
      <c r="C304" s="388" t="s">
        <v>465</v>
      </c>
      <c r="D304" s="391">
        <v>0</v>
      </c>
      <c r="E304" s="374">
        <f t="shared" ref="E304" si="38">P304/1000</f>
        <v>20683.78</v>
      </c>
      <c r="F304" s="231"/>
      <c r="G304" s="391">
        <f t="shared" ref="G304" si="39">+E304-D304</f>
        <v>20683.78</v>
      </c>
      <c r="H304" s="282" t="s">
        <v>466</v>
      </c>
      <c r="I304" s="225" t="s">
        <v>467</v>
      </c>
      <c r="J304" s="301">
        <v>20683780</v>
      </c>
      <c r="K304" s="302" t="s">
        <v>261</v>
      </c>
      <c r="L304" s="303" t="s">
        <v>277</v>
      </c>
      <c r="M304" s="304">
        <v>1</v>
      </c>
      <c r="N304" s="304" t="s">
        <v>275</v>
      </c>
      <c r="O304" s="305" t="s">
        <v>279</v>
      </c>
      <c r="P304" s="301">
        <f t="shared" ref="P304" si="40">J304*M304</f>
        <v>20683780</v>
      </c>
      <c r="Q304" s="227" t="s">
        <v>261</v>
      </c>
    </row>
    <row r="305" spans="1:17" ht="17.45" customHeight="1">
      <c r="A305" s="265"/>
      <c r="B305" s="78"/>
      <c r="C305" s="226" t="s">
        <v>218</v>
      </c>
      <c r="D305" s="374">
        <v>50000</v>
      </c>
      <c r="E305" s="374">
        <f t="shared" si="37"/>
        <v>50000</v>
      </c>
      <c r="F305" s="224"/>
      <c r="G305" s="391">
        <f t="shared" si="35"/>
        <v>0</v>
      </c>
      <c r="H305" s="375">
        <f t="shared" si="36"/>
        <v>0</v>
      </c>
      <c r="I305" s="235" t="s">
        <v>119</v>
      </c>
      <c r="J305" s="65">
        <v>50000000</v>
      </c>
      <c r="K305" s="236" t="s">
        <v>261</v>
      </c>
      <c r="L305" s="237" t="s">
        <v>277</v>
      </c>
      <c r="M305" s="238">
        <v>1</v>
      </c>
      <c r="N305" s="238" t="s">
        <v>275</v>
      </c>
      <c r="O305" s="239" t="s">
        <v>279</v>
      </c>
      <c r="P305" s="65">
        <f t="shared" si="28"/>
        <v>50000000</v>
      </c>
      <c r="Q305" s="229" t="s">
        <v>261</v>
      </c>
    </row>
    <row r="306" spans="1:17" ht="20.100000000000001" customHeight="1">
      <c r="A306" s="89" t="s">
        <v>289</v>
      </c>
      <c r="B306" s="438" t="s">
        <v>273</v>
      </c>
      <c r="C306" s="572"/>
      <c r="D306" s="167">
        <f>+D307</f>
        <v>113405</v>
      </c>
      <c r="E306" s="167">
        <f>+E307</f>
        <v>113405.29</v>
      </c>
      <c r="F306" s="168"/>
      <c r="G306" s="169">
        <f>+E306-D306</f>
        <v>0.28999999999359716</v>
      </c>
      <c r="H306" s="218">
        <f>+G306/D306*100</f>
        <v>2.5572064723213011E-4</v>
      </c>
      <c r="I306" s="17"/>
      <c r="J306" s="60"/>
      <c r="K306" s="9"/>
      <c r="L306" s="10"/>
      <c r="M306" s="339"/>
      <c r="N306" s="339"/>
      <c r="O306" s="112"/>
      <c r="P306" s="173">
        <f>P307</f>
        <v>113405290</v>
      </c>
      <c r="Q306" s="115" t="s">
        <v>261</v>
      </c>
    </row>
    <row r="307" spans="1:17" ht="15.95" customHeight="1">
      <c r="A307" s="56"/>
      <c r="B307" s="102" t="s">
        <v>289</v>
      </c>
      <c r="C307" s="509" t="s">
        <v>289</v>
      </c>
      <c r="D307" s="499">
        <v>113405</v>
      </c>
      <c r="E307" s="499">
        <f>+P307/1000</f>
        <v>113405.29</v>
      </c>
      <c r="F307" s="357"/>
      <c r="G307" s="486">
        <f>+E307-D307</f>
        <v>0.28999999999359716</v>
      </c>
      <c r="H307" s="489">
        <f>+G307/D307*100</f>
        <v>2.5572064723213011E-4</v>
      </c>
      <c r="I307" s="159"/>
      <c r="J307" s="8"/>
      <c r="K307" s="9"/>
      <c r="L307" s="10"/>
      <c r="M307" s="415" t="s">
        <v>298</v>
      </c>
      <c r="N307" s="415"/>
      <c r="O307" s="415"/>
      <c r="P307" s="60">
        <f>SUM(P308:P309)</f>
        <v>113405290</v>
      </c>
      <c r="Q307" s="6" t="s">
        <v>261</v>
      </c>
    </row>
    <row r="308" spans="1:17" ht="15.95" customHeight="1">
      <c r="A308" s="56"/>
      <c r="B308" s="343"/>
      <c r="C308" s="510"/>
      <c r="D308" s="501"/>
      <c r="E308" s="501"/>
      <c r="F308" s="359"/>
      <c r="G308" s="487"/>
      <c r="H308" s="490"/>
      <c r="I308" s="345" t="s">
        <v>213</v>
      </c>
      <c r="J308" s="298">
        <v>17500000</v>
      </c>
      <c r="K308" s="306" t="s">
        <v>261</v>
      </c>
      <c r="L308" s="299" t="s">
        <v>277</v>
      </c>
      <c r="M308" s="390">
        <v>2</v>
      </c>
      <c r="N308" s="390" t="s">
        <v>275</v>
      </c>
      <c r="O308" s="300" t="s">
        <v>279</v>
      </c>
      <c r="P308" s="311">
        <f>+J308*M308</f>
        <v>35000000</v>
      </c>
      <c r="Q308" s="16" t="s">
        <v>261</v>
      </c>
    </row>
    <row r="309" spans="1:17" ht="15.95" customHeight="1">
      <c r="A309" s="101"/>
      <c r="B309" s="344"/>
      <c r="C309" s="511"/>
      <c r="D309" s="502"/>
      <c r="E309" s="502"/>
      <c r="F309" s="358"/>
      <c r="G309" s="488"/>
      <c r="H309" s="491"/>
      <c r="I309" s="18" t="s">
        <v>440</v>
      </c>
      <c r="J309" s="19">
        <v>39202645</v>
      </c>
      <c r="K309" s="20" t="s">
        <v>261</v>
      </c>
      <c r="L309" s="21" t="s">
        <v>277</v>
      </c>
      <c r="M309" s="389">
        <v>2</v>
      </c>
      <c r="N309" s="389" t="s">
        <v>275</v>
      </c>
      <c r="O309" s="22" t="s">
        <v>279</v>
      </c>
      <c r="P309" s="263">
        <f>+J309*M309</f>
        <v>78405290</v>
      </c>
      <c r="Q309" s="23" t="s">
        <v>261</v>
      </c>
    </row>
    <row r="310" spans="1:17" ht="21.75" customHeight="1">
      <c r="A310" s="219" t="s">
        <v>287</v>
      </c>
      <c r="B310" s="438" t="s">
        <v>273</v>
      </c>
      <c r="C310" s="467"/>
      <c r="D310" s="240">
        <f>SUM(D311:D320)</f>
        <v>4576368</v>
      </c>
      <c r="E310" s="240">
        <f>SUM(E311:E320)</f>
        <v>4411198.9079999998</v>
      </c>
      <c r="F310" s="241">
        <f>SUM(F316:F318)</f>
        <v>0</v>
      </c>
      <c r="G310" s="242">
        <f t="shared" si="35"/>
        <v>-165169.09200000018</v>
      </c>
      <c r="H310" s="243">
        <f>+G310/D310*100</f>
        <v>-3.6091741748041279</v>
      </c>
      <c r="I310" s="17"/>
      <c r="J310" s="60"/>
      <c r="K310" s="9"/>
      <c r="L310" s="339"/>
      <c r="M310" s="339" t="s">
        <v>298</v>
      </c>
      <c r="N310" s="339"/>
      <c r="O310" s="339"/>
      <c r="P310" s="60">
        <f>SUM(P311,P315,P319)</f>
        <v>4411198908</v>
      </c>
      <c r="Q310" s="6" t="s">
        <v>261</v>
      </c>
    </row>
    <row r="311" spans="1:17" ht="18.75" customHeight="1">
      <c r="A311" s="211" t="s">
        <v>175</v>
      </c>
      <c r="B311" s="492" t="s">
        <v>478</v>
      </c>
      <c r="C311" s="537" t="s">
        <v>287</v>
      </c>
      <c r="D311" s="569">
        <v>4573464</v>
      </c>
      <c r="E311" s="486">
        <v>0</v>
      </c>
      <c r="F311" s="244"/>
      <c r="G311" s="486">
        <f>E311-D311</f>
        <v>-4573464</v>
      </c>
      <c r="H311" s="489">
        <f>G311/D311*100</f>
        <v>-100</v>
      </c>
      <c r="I311" s="159"/>
      <c r="J311" s="60"/>
      <c r="K311" s="9"/>
      <c r="L311" s="339"/>
      <c r="M311" s="339"/>
      <c r="N311" s="339"/>
      <c r="O311" s="339"/>
      <c r="P311" s="60">
        <f>SUM(P312:P314)</f>
        <v>0</v>
      </c>
      <c r="Q311" s="6" t="s">
        <v>261</v>
      </c>
    </row>
    <row r="312" spans="1:17" ht="16.5" customHeight="1">
      <c r="A312" s="148"/>
      <c r="B312" s="493"/>
      <c r="C312" s="541"/>
      <c r="D312" s="570"/>
      <c r="E312" s="487"/>
      <c r="F312" s="244"/>
      <c r="G312" s="487"/>
      <c r="H312" s="490"/>
      <c r="I312" s="245" t="s">
        <v>377</v>
      </c>
      <c r="J312" s="301">
        <v>0</v>
      </c>
      <c r="K312" s="306" t="s">
        <v>261</v>
      </c>
      <c r="L312" s="299" t="s">
        <v>277</v>
      </c>
      <c r="M312" s="390">
        <v>1</v>
      </c>
      <c r="N312" s="390" t="s">
        <v>275</v>
      </c>
      <c r="O312" s="300" t="s">
        <v>279</v>
      </c>
      <c r="P312" s="301">
        <f>+J312*M312</f>
        <v>0</v>
      </c>
      <c r="Q312" s="16" t="s">
        <v>261</v>
      </c>
    </row>
    <row r="313" spans="1:17" ht="16.5" customHeight="1">
      <c r="A313" s="148"/>
      <c r="B313" s="493"/>
      <c r="C313" s="541"/>
      <c r="D313" s="570"/>
      <c r="E313" s="487"/>
      <c r="F313" s="246"/>
      <c r="G313" s="487"/>
      <c r="H313" s="490"/>
      <c r="I313" s="247" t="s">
        <v>95</v>
      </c>
      <c r="J313" s="301">
        <v>0</v>
      </c>
      <c r="K313" s="306" t="s">
        <v>261</v>
      </c>
      <c r="L313" s="299" t="s">
        <v>277</v>
      </c>
      <c r="M313" s="390">
        <v>1</v>
      </c>
      <c r="N313" s="390" t="s">
        <v>275</v>
      </c>
      <c r="O313" s="300" t="s">
        <v>279</v>
      </c>
      <c r="P313" s="301">
        <f>+J313*M313</f>
        <v>0</v>
      </c>
      <c r="Q313" s="16" t="s">
        <v>261</v>
      </c>
    </row>
    <row r="314" spans="1:17" ht="16.5" customHeight="1">
      <c r="A314" s="148"/>
      <c r="B314" s="493"/>
      <c r="C314" s="542"/>
      <c r="D314" s="571"/>
      <c r="E314" s="488"/>
      <c r="F314" s="200"/>
      <c r="G314" s="488"/>
      <c r="H314" s="491"/>
      <c r="I314" s="248" t="s">
        <v>90</v>
      </c>
      <c r="J314" s="249">
        <v>0</v>
      </c>
      <c r="K314" s="20" t="s">
        <v>261</v>
      </c>
      <c r="L314" s="21" t="s">
        <v>277</v>
      </c>
      <c r="M314" s="389">
        <v>1</v>
      </c>
      <c r="N314" s="389" t="s">
        <v>275</v>
      </c>
      <c r="O314" s="22" t="s">
        <v>279</v>
      </c>
      <c r="P314" s="65">
        <f>+J314*M314</f>
        <v>0</v>
      </c>
      <c r="Q314" s="23" t="s">
        <v>261</v>
      </c>
    </row>
    <row r="315" spans="1:17" ht="18.75" customHeight="1">
      <c r="A315" s="211"/>
      <c r="B315" s="493"/>
      <c r="C315" s="537" t="s">
        <v>479</v>
      </c>
      <c r="D315" s="569">
        <v>0</v>
      </c>
      <c r="E315" s="486">
        <f>(P315/1000)</f>
        <v>4408295.1519999998</v>
      </c>
      <c r="F315" s="244"/>
      <c r="G315" s="486">
        <f>E315-D315</f>
        <v>4408295.1519999998</v>
      </c>
      <c r="H315" s="489" t="s">
        <v>480</v>
      </c>
      <c r="I315" s="159"/>
      <c r="J315" s="60"/>
      <c r="K315" s="9"/>
      <c r="L315" s="339"/>
      <c r="M315" s="339"/>
      <c r="N315" s="339"/>
      <c r="O315" s="339"/>
      <c r="P315" s="60">
        <f>SUM(P316:P318)</f>
        <v>4408295152</v>
      </c>
      <c r="Q315" s="6" t="s">
        <v>261</v>
      </c>
    </row>
    <row r="316" spans="1:17" ht="16.5" customHeight="1">
      <c r="A316" s="148"/>
      <c r="B316" s="493"/>
      <c r="C316" s="541"/>
      <c r="D316" s="570"/>
      <c r="E316" s="487"/>
      <c r="F316" s="244"/>
      <c r="G316" s="487"/>
      <c r="H316" s="490"/>
      <c r="I316" s="245" t="s">
        <v>377</v>
      </c>
      <c r="J316" s="301">
        <v>2317648262</v>
      </c>
      <c r="K316" s="306" t="s">
        <v>261</v>
      </c>
      <c r="L316" s="299" t="s">
        <v>277</v>
      </c>
      <c r="M316" s="390">
        <v>1</v>
      </c>
      <c r="N316" s="390" t="s">
        <v>275</v>
      </c>
      <c r="O316" s="300" t="s">
        <v>279</v>
      </c>
      <c r="P316" s="301">
        <f>+J316*M316</f>
        <v>2317648262</v>
      </c>
      <c r="Q316" s="16" t="s">
        <v>261</v>
      </c>
    </row>
    <row r="317" spans="1:17" ht="16.5" customHeight="1">
      <c r="A317" s="148"/>
      <c r="B317" s="493"/>
      <c r="C317" s="541"/>
      <c r="D317" s="570"/>
      <c r="E317" s="487"/>
      <c r="F317" s="246"/>
      <c r="G317" s="487"/>
      <c r="H317" s="490"/>
      <c r="I317" s="247" t="s">
        <v>95</v>
      </c>
      <c r="J317" s="301">
        <v>881412840</v>
      </c>
      <c r="K317" s="306" t="s">
        <v>261</v>
      </c>
      <c r="L317" s="299" t="s">
        <v>277</v>
      </c>
      <c r="M317" s="390">
        <v>1</v>
      </c>
      <c r="N317" s="390" t="s">
        <v>275</v>
      </c>
      <c r="O317" s="300" t="s">
        <v>279</v>
      </c>
      <c r="P317" s="301">
        <f>+J317*M317</f>
        <v>881412840</v>
      </c>
      <c r="Q317" s="16" t="s">
        <v>261</v>
      </c>
    </row>
    <row r="318" spans="1:17" ht="16.5" customHeight="1">
      <c r="A318" s="148"/>
      <c r="B318" s="493"/>
      <c r="C318" s="542"/>
      <c r="D318" s="571"/>
      <c r="E318" s="488"/>
      <c r="F318" s="200"/>
      <c r="G318" s="488"/>
      <c r="H318" s="491"/>
      <c r="I318" s="248" t="s">
        <v>90</v>
      </c>
      <c r="J318" s="249">
        <v>1209234050</v>
      </c>
      <c r="K318" s="20" t="s">
        <v>261</v>
      </c>
      <c r="L318" s="21" t="s">
        <v>277</v>
      </c>
      <c r="M318" s="389">
        <v>1</v>
      </c>
      <c r="N318" s="389" t="s">
        <v>275</v>
      </c>
      <c r="O318" s="22" t="s">
        <v>279</v>
      </c>
      <c r="P318" s="65">
        <f>+J318*M318</f>
        <v>1209234050</v>
      </c>
      <c r="Q318" s="23" t="s">
        <v>261</v>
      </c>
    </row>
    <row r="319" spans="1:17" ht="16.5" customHeight="1">
      <c r="A319" s="148"/>
      <c r="B319" s="493"/>
      <c r="C319" s="537" t="s">
        <v>301</v>
      </c>
      <c r="D319" s="486">
        <v>2904</v>
      </c>
      <c r="E319" s="499">
        <f>P319/1000</f>
        <v>2903.7559999999999</v>
      </c>
      <c r="F319" s="250"/>
      <c r="G319" s="486">
        <f>E319-D319</f>
        <v>-0.24400000000014188</v>
      </c>
      <c r="H319" s="489">
        <f>G319/D319*100</f>
        <v>-8.4022038567541976E-3</v>
      </c>
      <c r="I319" s="159"/>
      <c r="J319" s="8"/>
      <c r="K319" s="9"/>
      <c r="L319" s="10"/>
      <c r="M319" s="339" t="s">
        <v>298</v>
      </c>
      <c r="N319" s="339"/>
      <c r="O319" s="339"/>
      <c r="P319" s="60">
        <f>SUM(P320:P320)</f>
        <v>2903756</v>
      </c>
      <c r="Q319" s="6" t="s">
        <v>261</v>
      </c>
    </row>
    <row r="320" spans="1:17" ht="16.5" customHeight="1" thickBot="1">
      <c r="A320" s="322"/>
      <c r="B320" s="494"/>
      <c r="C320" s="568"/>
      <c r="D320" s="512"/>
      <c r="E320" s="505"/>
      <c r="F320" s="323"/>
      <c r="G320" s="512"/>
      <c r="H320" s="529"/>
      <c r="I320" s="324" t="s">
        <v>420</v>
      </c>
      <c r="J320" s="288">
        <v>1451878</v>
      </c>
      <c r="K320" s="325" t="s">
        <v>261</v>
      </c>
      <c r="L320" s="290" t="s">
        <v>277</v>
      </c>
      <c r="M320" s="289">
        <v>2</v>
      </c>
      <c r="N320" s="289" t="s">
        <v>275</v>
      </c>
      <c r="O320" s="291" t="s">
        <v>279</v>
      </c>
      <c r="P320" s="326">
        <f>+J320*M320</f>
        <v>2903756</v>
      </c>
      <c r="Q320" s="292" t="s">
        <v>261</v>
      </c>
    </row>
    <row r="321" spans="2:16" ht="16.5" customHeight="1">
      <c r="B321" s="251"/>
      <c r="C321" s="252"/>
      <c r="D321" s="122"/>
      <c r="F321" s="26"/>
      <c r="H321" s="253"/>
      <c r="I321" s="284"/>
      <c r="J321" s="11"/>
      <c r="L321" s="13"/>
      <c r="O321" s="15"/>
      <c r="P321" s="76"/>
    </row>
    <row r="322" spans="2:16">
      <c r="I322" s="254"/>
    </row>
    <row r="323" spans="2:16">
      <c r="I323" s="255"/>
    </row>
    <row r="324" spans="2:16" ht="9.75" customHeight="1"/>
    <row r="325" spans="2:16" ht="21.75" customHeight="1"/>
    <row r="327" spans="2:16">
      <c r="I327" s="256"/>
    </row>
    <row r="328" spans="2:16">
      <c r="I328" s="256"/>
    </row>
  </sheetData>
  <mergeCells count="393">
    <mergeCell ref="H85:H88"/>
    <mergeCell ref="G85:G88"/>
    <mergeCell ref="H89:H91"/>
    <mergeCell ref="M182:O182"/>
    <mergeCell ref="E182:E185"/>
    <mergeCell ref="E140:E142"/>
    <mergeCell ref="F173:F174"/>
    <mergeCell ref="E173:E174"/>
    <mergeCell ref="F176:F177"/>
    <mergeCell ref="H162:H163"/>
    <mergeCell ref="M173:O173"/>
    <mergeCell ref="H176:H177"/>
    <mergeCell ref="H165:H168"/>
    <mergeCell ref="G173:G174"/>
    <mergeCell ref="F182:F185"/>
    <mergeCell ref="F165:F168"/>
    <mergeCell ref="G165:G168"/>
    <mergeCell ref="M132:O132"/>
    <mergeCell ref="M169:O169"/>
    <mergeCell ref="M37:O37"/>
    <mergeCell ref="M41:O41"/>
    <mergeCell ref="M44:O44"/>
    <mergeCell ref="M53:O53"/>
    <mergeCell ref="G162:G163"/>
    <mergeCell ref="E117:E119"/>
    <mergeCell ref="D113:D115"/>
    <mergeCell ref="E128:E129"/>
    <mergeCell ref="D117:D119"/>
    <mergeCell ref="E120:E121"/>
    <mergeCell ref="F159:F161"/>
    <mergeCell ref="E169:E172"/>
    <mergeCell ref="D159:D161"/>
    <mergeCell ref="F151:F156"/>
    <mergeCell ref="G130:G131"/>
    <mergeCell ref="F120:F121"/>
    <mergeCell ref="G148:G150"/>
    <mergeCell ref="F138:F139"/>
    <mergeCell ref="G138:G139"/>
    <mergeCell ref="H44:H49"/>
    <mergeCell ref="G30:G35"/>
    <mergeCell ref="H41:H43"/>
    <mergeCell ref="G41:G43"/>
    <mergeCell ref="H51:H52"/>
    <mergeCell ref="D106:D109"/>
    <mergeCell ref="E106:E109"/>
    <mergeCell ref="E110:E112"/>
    <mergeCell ref="E97:E98"/>
    <mergeCell ref="E81:E82"/>
    <mergeCell ref="E89:E91"/>
    <mergeCell ref="D92:D96"/>
    <mergeCell ref="F89:F91"/>
    <mergeCell ref="F79:F80"/>
    <mergeCell ref="F92:F96"/>
    <mergeCell ref="F85:F88"/>
    <mergeCell ref="F100:F102"/>
    <mergeCell ref="F103:F105"/>
    <mergeCell ref="G97:G98"/>
    <mergeCell ref="G92:G96"/>
    <mergeCell ref="G89:G91"/>
    <mergeCell ref="H92:H96"/>
    <mergeCell ref="D73:D75"/>
    <mergeCell ref="E73:E75"/>
    <mergeCell ref="E69:E72"/>
    <mergeCell ref="E41:E43"/>
    <mergeCell ref="E44:E49"/>
    <mergeCell ref="E51:E52"/>
    <mergeCell ref="F77:F78"/>
    <mergeCell ref="F81:F82"/>
    <mergeCell ref="E64:E68"/>
    <mergeCell ref="D24:D29"/>
    <mergeCell ref="M29:N29"/>
    <mergeCell ref="H30:H35"/>
    <mergeCell ref="F51:F52"/>
    <mergeCell ref="G51:G52"/>
    <mergeCell ref="G44:G49"/>
    <mergeCell ref="F44:F49"/>
    <mergeCell ref="E24:E29"/>
    <mergeCell ref="F24:F29"/>
    <mergeCell ref="M25:N25"/>
    <mergeCell ref="M26:N26"/>
    <mergeCell ref="D37:D40"/>
    <mergeCell ref="E37:E40"/>
    <mergeCell ref="D51:D52"/>
    <mergeCell ref="D44:D49"/>
    <mergeCell ref="M27:N27"/>
    <mergeCell ref="H24:H29"/>
    <mergeCell ref="H60:H63"/>
    <mergeCell ref="F53:F59"/>
    <mergeCell ref="G60:G63"/>
    <mergeCell ref="F64:F68"/>
    <mergeCell ref="F73:F75"/>
    <mergeCell ref="G64:G68"/>
    <mergeCell ref="G79:G80"/>
    <mergeCell ref="H79:H80"/>
    <mergeCell ref="H81:H82"/>
    <mergeCell ref="G81:G82"/>
    <mergeCell ref="H73:H75"/>
    <mergeCell ref="G69:G72"/>
    <mergeCell ref="H69:H72"/>
    <mergeCell ref="G73:G75"/>
    <mergeCell ref="H64:H68"/>
    <mergeCell ref="H77:H78"/>
    <mergeCell ref="C100:C102"/>
    <mergeCell ref="E79:E80"/>
    <mergeCell ref="D30:D35"/>
    <mergeCell ref="E53:E59"/>
    <mergeCell ref="D100:D102"/>
    <mergeCell ref="D103:D105"/>
    <mergeCell ref="D64:D68"/>
    <mergeCell ref="D53:D59"/>
    <mergeCell ref="E60:E63"/>
    <mergeCell ref="D60:D63"/>
    <mergeCell ref="B76:C76"/>
    <mergeCell ref="C60:C63"/>
    <mergeCell ref="C64:C68"/>
    <mergeCell ref="E77:E78"/>
    <mergeCell ref="D77:D78"/>
    <mergeCell ref="E92:E96"/>
    <mergeCell ref="E100:E102"/>
    <mergeCell ref="E85:E88"/>
    <mergeCell ref="E103:E105"/>
    <mergeCell ref="D97:D98"/>
    <mergeCell ref="D85:D88"/>
    <mergeCell ref="C103:C105"/>
    <mergeCell ref="B83:C83"/>
    <mergeCell ref="C79:C80"/>
    <mergeCell ref="C3:C4"/>
    <mergeCell ref="D3:D4"/>
    <mergeCell ref="F13:F19"/>
    <mergeCell ref="D22:D23"/>
    <mergeCell ref="C22:C23"/>
    <mergeCell ref="E3:E4"/>
    <mergeCell ref="A5:C5"/>
    <mergeCell ref="C8:C12"/>
    <mergeCell ref="D8:D12"/>
    <mergeCell ref="B3:B4"/>
    <mergeCell ref="D13:D21"/>
    <mergeCell ref="E8:E12"/>
    <mergeCell ref="E13:E21"/>
    <mergeCell ref="E22:E23"/>
    <mergeCell ref="F22:F23"/>
    <mergeCell ref="C117:C119"/>
    <mergeCell ref="E30:E35"/>
    <mergeCell ref="F60:F63"/>
    <mergeCell ref="C77:C78"/>
    <mergeCell ref="C53:C59"/>
    <mergeCell ref="C85:C88"/>
    <mergeCell ref="E196:E198"/>
    <mergeCell ref="C182:C185"/>
    <mergeCell ref="C187:C192"/>
    <mergeCell ref="C69:C72"/>
    <mergeCell ref="D69:D72"/>
    <mergeCell ref="C73:C75"/>
    <mergeCell ref="D120:D121"/>
    <mergeCell ref="D110:D112"/>
    <mergeCell ref="D187:D192"/>
    <mergeCell ref="D128:D129"/>
    <mergeCell ref="D79:D80"/>
    <mergeCell ref="D89:D91"/>
    <mergeCell ref="C151:C157"/>
    <mergeCell ref="E132:E137"/>
    <mergeCell ref="C132:C137"/>
    <mergeCell ref="E113:E115"/>
    <mergeCell ref="C113:C115"/>
    <mergeCell ref="C120:C121"/>
    <mergeCell ref="C319:C320"/>
    <mergeCell ref="C315:C318"/>
    <mergeCell ref="B215:C215"/>
    <mergeCell ref="D315:D318"/>
    <mergeCell ref="B310:C310"/>
    <mergeCell ref="D319:D320"/>
    <mergeCell ref="C193:C194"/>
    <mergeCell ref="D199:D203"/>
    <mergeCell ref="C199:C203"/>
    <mergeCell ref="D212:D214"/>
    <mergeCell ref="C212:C214"/>
    <mergeCell ref="B306:C306"/>
    <mergeCell ref="C205:C211"/>
    <mergeCell ref="C196:C198"/>
    <mergeCell ref="D205:D211"/>
    <mergeCell ref="C311:C314"/>
    <mergeCell ref="D311:D314"/>
    <mergeCell ref="C122:C127"/>
    <mergeCell ref="D122:D127"/>
    <mergeCell ref="E122:E127"/>
    <mergeCell ref="D140:D142"/>
    <mergeCell ref="D151:D157"/>
    <mergeCell ref="E151:E157"/>
    <mergeCell ref="C140:C142"/>
    <mergeCell ref="C130:C131"/>
    <mergeCell ref="C128:C129"/>
    <mergeCell ref="D144:D145"/>
    <mergeCell ref="E144:E145"/>
    <mergeCell ref="D146:D147"/>
    <mergeCell ref="E146:E147"/>
    <mergeCell ref="E148:E150"/>
    <mergeCell ref="D148:D150"/>
    <mergeCell ref="E130:E131"/>
    <mergeCell ref="C138:C139"/>
    <mergeCell ref="D138:D139"/>
    <mergeCell ref="E138:E139"/>
    <mergeCell ref="D132:D137"/>
    <mergeCell ref="C146:C147"/>
    <mergeCell ref="C148:C150"/>
    <mergeCell ref="C159:C161"/>
    <mergeCell ref="C169:C172"/>
    <mergeCell ref="C178:C180"/>
    <mergeCell ref="C165:C168"/>
    <mergeCell ref="C173:C174"/>
    <mergeCell ref="D173:D174"/>
    <mergeCell ref="D178:D180"/>
    <mergeCell ref="E162:E163"/>
    <mergeCell ref="D162:D163"/>
    <mergeCell ref="E159:E161"/>
    <mergeCell ref="C162:C163"/>
    <mergeCell ref="E193:E194"/>
    <mergeCell ref="D169:D172"/>
    <mergeCell ref="M307:O307"/>
    <mergeCell ref="M199:O199"/>
    <mergeCell ref="M212:O212"/>
    <mergeCell ref="M176:O176"/>
    <mergeCell ref="M165:O165"/>
    <mergeCell ref="M187:O187"/>
    <mergeCell ref="M196:O196"/>
    <mergeCell ref="M193:O193"/>
    <mergeCell ref="M178:O178"/>
    <mergeCell ref="G307:G309"/>
    <mergeCell ref="H307:H309"/>
    <mergeCell ref="M205:O205"/>
    <mergeCell ref="E178:E180"/>
    <mergeCell ref="D176:D177"/>
    <mergeCell ref="E176:E177"/>
    <mergeCell ref="G169:G172"/>
    <mergeCell ref="H169:H172"/>
    <mergeCell ref="E165:E168"/>
    <mergeCell ref="O2:Q2"/>
    <mergeCell ref="M116:O116"/>
    <mergeCell ref="M151:O151"/>
    <mergeCell ref="M162:O162"/>
    <mergeCell ref="M140:O140"/>
    <mergeCell ref="M159:O159"/>
    <mergeCell ref="M130:O130"/>
    <mergeCell ref="M97:O97"/>
    <mergeCell ref="M89:O89"/>
    <mergeCell ref="M113:O113"/>
    <mergeCell ref="M92:O92"/>
    <mergeCell ref="M99:O99"/>
    <mergeCell ref="M110:O110"/>
    <mergeCell ref="M117:O117"/>
    <mergeCell ref="M122:O122"/>
    <mergeCell ref="M128:O128"/>
    <mergeCell ref="I3:Q4"/>
    <mergeCell ref="M144:O144"/>
    <mergeCell ref="M120:O120"/>
    <mergeCell ref="M60:O60"/>
    <mergeCell ref="M64:O64"/>
    <mergeCell ref="M73:O73"/>
    <mergeCell ref="M146:O146"/>
    <mergeCell ref="M148:O148"/>
    <mergeCell ref="G3:H3"/>
    <mergeCell ref="F3:F4"/>
    <mergeCell ref="M13:O13"/>
    <mergeCell ref="H97:H98"/>
    <mergeCell ref="G77:G78"/>
    <mergeCell ref="G13:G21"/>
    <mergeCell ref="G8:G12"/>
    <mergeCell ref="H13:H21"/>
    <mergeCell ref="M22:O22"/>
    <mergeCell ref="H22:H23"/>
    <mergeCell ref="G22:G23"/>
    <mergeCell ref="H53:H59"/>
    <mergeCell ref="G53:G59"/>
    <mergeCell ref="G37:G40"/>
    <mergeCell ref="H37:H40"/>
    <mergeCell ref="M28:N28"/>
    <mergeCell ref="M24:O24"/>
    <mergeCell ref="G24:G29"/>
    <mergeCell ref="M69:O69"/>
    <mergeCell ref="M84:O84"/>
    <mergeCell ref="M85:O85"/>
    <mergeCell ref="H8:H12"/>
    <mergeCell ref="F30:F34"/>
    <mergeCell ref="F37:F39"/>
    <mergeCell ref="M138:O138"/>
    <mergeCell ref="H122:H127"/>
    <mergeCell ref="G103:G105"/>
    <mergeCell ref="M100:O100"/>
    <mergeCell ref="G100:G102"/>
    <mergeCell ref="H103:H105"/>
    <mergeCell ref="H113:H115"/>
    <mergeCell ref="F106:F108"/>
    <mergeCell ref="M103:O103"/>
    <mergeCell ref="G110:G112"/>
    <mergeCell ref="H110:H112"/>
    <mergeCell ref="M106:O106"/>
    <mergeCell ref="G106:G109"/>
    <mergeCell ref="H130:H131"/>
    <mergeCell ref="A1:B1"/>
    <mergeCell ref="D193:D194"/>
    <mergeCell ref="A2:B2"/>
    <mergeCell ref="A3:A4"/>
    <mergeCell ref="B6:C6"/>
    <mergeCell ref="C110:C112"/>
    <mergeCell ref="D130:D131"/>
    <mergeCell ref="D41:D43"/>
    <mergeCell ref="C30:C35"/>
    <mergeCell ref="D81:D82"/>
    <mergeCell ref="C97:C98"/>
    <mergeCell ref="C51:C52"/>
    <mergeCell ref="C44:C49"/>
    <mergeCell ref="C92:C96"/>
    <mergeCell ref="C81:C82"/>
    <mergeCell ref="C89:C91"/>
    <mergeCell ref="C24:C29"/>
    <mergeCell ref="C13:C21"/>
    <mergeCell ref="C41:C43"/>
    <mergeCell ref="C106:C109"/>
    <mergeCell ref="C144:C145"/>
    <mergeCell ref="C37:C40"/>
    <mergeCell ref="D165:D168"/>
    <mergeCell ref="C176:C177"/>
    <mergeCell ref="H319:H320"/>
    <mergeCell ref="H106:H109"/>
    <mergeCell ref="H187:H192"/>
    <mergeCell ref="G193:G194"/>
    <mergeCell ref="G178:G180"/>
    <mergeCell ref="F130:F131"/>
    <mergeCell ref="F113:F115"/>
    <mergeCell ref="F178:F180"/>
    <mergeCell ref="G117:G119"/>
    <mergeCell ref="H117:H119"/>
    <mergeCell ref="G113:G115"/>
    <mergeCell ref="F128:F129"/>
    <mergeCell ref="H128:H129"/>
    <mergeCell ref="G120:G121"/>
    <mergeCell ref="H120:H121"/>
    <mergeCell ref="F144:F145"/>
    <mergeCell ref="G144:G145"/>
    <mergeCell ref="H144:H145"/>
    <mergeCell ref="G122:G127"/>
    <mergeCell ref="H132:H137"/>
    <mergeCell ref="G146:G147"/>
    <mergeCell ref="H146:H147"/>
    <mergeCell ref="G140:G142"/>
    <mergeCell ref="H140:H142"/>
    <mergeCell ref="G315:G318"/>
    <mergeCell ref="G182:G185"/>
    <mergeCell ref="H205:H211"/>
    <mergeCell ref="H199:H203"/>
    <mergeCell ref="G187:G192"/>
    <mergeCell ref="H100:H102"/>
    <mergeCell ref="H212:H214"/>
    <mergeCell ref="G196:G198"/>
    <mergeCell ref="G205:G211"/>
    <mergeCell ref="G199:G203"/>
    <mergeCell ref="G128:G129"/>
    <mergeCell ref="H196:H198"/>
    <mergeCell ref="H193:H194"/>
    <mergeCell ref="G212:G214"/>
    <mergeCell ref="H178:H180"/>
    <mergeCell ref="G132:G137"/>
    <mergeCell ref="H148:H150"/>
    <mergeCell ref="H159:H161"/>
    <mergeCell ref="G176:G177"/>
    <mergeCell ref="G151:G157"/>
    <mergeCell ref="H151:H157"/>
    <mergeCell ref="G159:G161"/>
    <mergeCell ref="H173:H174"/>
    <mergeCell ref="H138:H139"/>
    <mergeCell ref="E311:E314"/>
    <mergeCell ref="G311:G314"/>
    <mergeCell ref="H311:H314"/>
    <mergeCell ref="B311:B320"/>
    <mergeCell ref="F187:F188"/>
    <mergeCell ref="D182:D185"/>
    <mergeCell ref="E212:E214"/>
    <mergeCell ref="E199:E203"/>
    <mergeCell ref="F193:F194"/>
    <mergeCell ref="F199:F203"/>
    <mergeCell ref="F212:F214"/>
    <mergeCell ref="F196:F198"/>
    <mergeCell ref="F205:F210"/>
    <mergeCell ref="E315:E318"/>
    <mergeCell ref="D196:D198"/>
    <mergeCell ref="E205:E211"/>
    <mergeCell ref="E319:E320"/>
    <mergeCell ref="E187:E192"/>
    <mergeCell ref="H182:H185"/>
    <mergeCell ref="C307:C309"/>
    <mergeCell ref="D307:D309"/>
    <mergeCell ref="E307:E309"/>
    <mergeCell ref="G319:G320"/>
    <mergeCell ref="H315:H318"/>
  </mergeCells>
  <phoneticPr fontId="6" type="noConversion"/>
  <pageMargins left="0.31496062992125984" right="0.23622047244094491" top="0.47244094488188981" bottom="0.19685039370078741" header="0.39370078740157483" footer="0.19685039370078741"/>
  <pageSetup paperSize="9" scale="92" firstPageNumber="4" fitToWidth="14" fitToHeight="14" orientation="landscape" useFirstPageNumber="1" r:id="rId1"/>
  <headerFooter>
    <oddFooter>&amp;C&amp;P</oddFooter>
  </headerFooter>
  <rowBreaks count="10" manualBreakCount="10">
    <brk id="35" max="16" man="1"/>
    <brk id="68" max="16" man="1"/>
    <brk id="98" max="16" man="1"/>
    <brk id="131" max="16" man="1"/>
    <brk id="163" max="16" man="1"/>
    <brk id="194" max="16" man="1"/>
    <brk id="222" max="16" man="1"/>
    <brk id="251" max="16" man="1"/>
    <brk id="280" max="16" man="1"/>
    <brk id="309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예산총칙</vt:lpstr>
      <vt:lpstr>세입명세서</vt:lpstr>
      <vt:lpstr>세출명세서</vt:lpstr>
      <vt:lpstr>세입명세서!Print_Area</vt:lpstr>
      <vt:lpstr>세출명세서!Print_Area</vt:lpstr>
      <vt:lpstr>예산총칙!Print_Area</vt:lpstr>
      <vt:lpstr>세입명세서!Print_Titles</vt:lpstr>
      <vt:lpstr>세출명세서!Print_Titles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정경애</cp:lastModifiedBy>
  <cp:revision>23</cp:revision>
  <cp:lastPrinted>2022-10-12T07:01:00Z</cp:lastPrinted>
  <dcterms:created xsi:type="dcterms:W3CDTF">2009-12-07T05:26:05Z</dcterms:created>
  <dcterms:modified xsi:type="dcterms:W3CDTF">2022-10-21T00:52:14Z</dcterms:modified>
  <cp:version>1100.0100.01</cp:version>
</cp:coreProperties>
</file>