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법인행정\2023년\공문\첨부문서\"/>
    </mc:Choice>
  </mc:AlternateContent>
  <xr:revisionPtr revIDLastSave="0" documentId="13_ncr:1_{A9901740-5F03-4C21-9276-E57FEB88FACF}" xr6:coauthVersionLast="36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예산총칙" sheetId="2" r:id="rId1"/>
    <sheet name="세입예산서" sheetId="6" r:id="rId2"/>
    <sheet name="세출예산서" sheetId="7" r:id="rId3"/>
  </sheets>
  <definedNames>
    <definedName name="_xlnm.Print_Area" localSheetId="1">세입예산서!$A$1:$Q$94</definedName>
    <definedName name="_xlnm.Print_Area" localSheetId="2">세출예산서!$A$1:$Q$316</definedName>
    <definedName name="_xlnm.Print_Area" localSheetId="0">예산총칙!$A$1:$P$21</definedName>
    <definedName name="_xlnm.Print_Titles" localSheetId="1">세입예산서!$4:$5</definedName>
    <definedName name="_xlnm.Print_Titles" localSheetId="2">세출예산서!$3:$4</definedName>
  </definedNames>
  <calcPr calcId="191029"/>
</workbook>
</file>

<file path=xl/calcChain.xml><?xml version="1.0" encoding="utf-8"?>
<calcChain xmlns="http://schemas.openxmlformats.org/spreadsheetml/2006/main">
  <c r="P93" i="7" l="1"/>
  <c r="P16" i="6" l="1"/>
  <c r="P22" i="6"/>
  <c r="P315" i="7" l="1"/>
  <c r="D167" i="7"/>
  <c r="P81" i="7"/>
  <c r="P80" i="7"/>
  <c r="P79" i="7"/>
  <c r="P41" i="7"/>
  <c r="P190" i="7" l="1"/>
  <c r="P189" i="7"/>
  <c r="P191" i="7"/>
  <c r="P115" i="7" l="1"/>
  <c r="P114" i="7" s="1"/>
  <c r="E114" i="7" s="1"/>
  <c r="G114" i="7" s="1"/>
  <c r="H114" i="7" s="1"/>
  <c r="G115" i="7"/>
  <c r="H115" i="7" s="1"/>
  <c r="P113" i="7"/>
  <c r="P111" i="7"/>
  <c r="P109" i="7" s="1"/>
  <c r="E109" i="7" s="1"/>
  <c r="G109" i="7" s="1"/>
  <c r="H109" i="7" s="1"/>
  <c r="P107" i="7"/>
  <c r="E107" i="7" s="1"/>
  <c r="G107" i="7" s="1"/>
  <c r="H107" i="7" s="1"/>
  <c r="P105" i="7"/>
  <c r="P104" i="7" s="1"/>
  <c r="E104" i="7" s="1"/>
  <c r="G104" i="7" s="1"/>
  <c r="H104" i="7" s="1"/>
  <c r="P112" i="7" l="1"/>
  <c r="E112" i="7" s="1"/>
  <c r="G112" i="7" s="1"/>
  <c r="H112" i="7" s="1"/>
  <c r="P174" i="7"/>
  <c r="P173" i="7"/>
  <c r="P170" i="7"/>
  <c r="P100" i="7"/>
  <c r="P99" i="7"/>
  <c r="P94" i="7"/>
  <c r="P92" i="7"/>
  <c r="P185" i="7" l="1"/>
  <c r="P78" i="7" l="1"/>
  <c r="D159" i="7" l="1"/>
  <c r="P245" i="7"/>
  <c r="P80" i="6"/>
  <c r="P142" i="7" l="1"/>
  <c r="P164" i="7" l="1"/>
  <c r="P163" i="7"/>
  <c r="P162" i="7"/>
  <c r="P161" i="7"/>
  <c r="P74" i="7"/>
  <c r="P32" i="6"/>
  <c r="P31" i="6"/>
  <c r="P30" i="6"/>
  <c r="P160" i="7" l="1"/>
  <c r="E160" i="7" s="1"/>
  <c r="P77" i="7"/>
  <c r="P316" i="7"/>
  <c r="P313" i="7"/>
  <c r="P312" i="7"/>
  <c r="P311" i="7"/>
  <c r="P309" i="7"/>
  <c r="P308" i="7"/>
  <c r="P307" i="7"/>
  <c r="F305" i="7"/>
  <c r="D305" i="7"/>
  <c r="P304" i="7"/>
  <c r="P303" i="7"/>
  <c r="D301" i="7"/>
  <c r="P300" i="7"/>
  <c r="E300" i="7" s="1"/>
  <c r="G300" i="7" s="1"/>
  <c r="H300" i="7" s="1"/>
  <c r="P299" i="7"/>
  <c r="E299" i="7" s="1"/>
  <c r="P298" i="7"/>
  <c r="E298" i="7" s="1"/>
  <c r="G298" i="7" s="1"/>
  <c r="H298" i="7" s="1"/>
  <c r="P297" i="7"/>
  <c r="E297" i="7" s="1"/>
  <c r="P296" i="7"/>
  <c r="E296" i="7" s="1"/>
  <c r="G296" i="7" s="1"/>
  <c r="H296" i="7" s="1"/>
  <c r="P295" i="7"/>
  <c r="E295" i="7" s="1"/>
  <c r="P294" i="7"/>
  <c r="E294" i="7" s="1"/>
  <c r="G294" i="7" s="1"/>
  <c r="H294" i="7" s="1"/>
  <c r="P293" i="7"/>
  <c r="E293" i="7" s="1"/>
  <c r="P292" i="7"/>
  <c r="E292" i="7" s="1"/>
  <c r="G292" i="7" s="1"/>
  <c r="H292" i="7" s="1"/>
  <c r="P291" i="7"/>
  <c r="E291" i="7" s="1"/>
  <c r="G291" i="7" s="1"/>
  <c r="H291" i="7" s="1"/>
  <c r="P290" i="7"/>
  <c r="E290" i="7" s="1"/>
  <c r="G290" i="7" s="1"/>
  <c r="H290" i="7" s="1"/>
  <c r="P289" i="7"/>
  <c r="E289" i="7" s="1"/>
  <c r="G289" i="7" s="1"/>
  <c r="H289" i="7" s="1"/>
  <c r="P288" i="7"/>
  <c r="E288" i="7" s="1"/>
  <c r="G288" i="7" s="1"/>
  <c r="H288" i="7" s="1"/>
  <c r="P287" i="7"/>
  <c r="E287" i="7" s="1"/>
  <c r="P286" i="7"/>
  <c r="E286" i="7" s="1"/>
  <c r="P285" i="7"/>
  <c r="E285" i="7" s="1"/>
  <c r="P284" i="7"/>
  <c r="E284" i="7" s="1"/>
  <c r="P283" i="7"/>
  <c r="E283" i="7" s="1"/>
  <c r="P282" i="7"/>
  <c r="E282" i="7" s="1"/>
  <c r="G282" i="7" s="1"/>
  <c r="H282" i="7" s="1"/>
  <c r="P281" i="7"/>
  <c r="E281" i="7" s="1"/>
  <c r="P280" i="7"/>
  <c r="E280" i="7" s="1"/>
  <c r="G280" i="7" s="1"/>
  <c r="H280" i="7" s="1"/>
  <c r="P279" i="7"/>
  <c r="E279" i="7" s="1"/>
  <c r="P278" i="7"/>
  <c r="E278" i="7" s="1"/>
  <c r="G278" i="7" s="1"/>
  <c r="H278" i="7" s="1"/>
  <c r="P277" i="7"/>
  <c r="E277" i="7" s="1"/>
  <c r="P276" i="7"/>
  <c r="E276" i="7" s="1"/>
  <c r="G276" i="7" s="1"/>
  <c r="H276" i="7" s="1"/>
  <c r="P275" i="7"/>
  <c r="E275" i="7" s="1"/>
  <c r="P274" i="7"/>
  <c r="E274" i="7" s="1"/>
  <c r="P273" i="7"/>
  <c r="E273" i="7" s="1"/>
  <c r="P272" i="7"/>
  <c r="E272" i="7" s="1"/>
  <c r="G272" i="7" s="1"/>
  <c r="H272" i="7" s="1"/>
  <c r="P271" i="7"/>
  <c r="E271" i="7" s="1"/>
  <c r="P270" i="7"/>
  <c r="E270" i="7" s="1"/>
  <c r="G270" i="7" s="1"/>
  <c r="H270" i="7" s="1"/>
  <c r="P269" i="7"/>
  <c r="E269" i="7" s="1"/>
  <c r="P268" i="7"/>
  <c r="E268" i="7" s="1"/>
  <c r="G268" i="7" s="1"/>
  <c r="H268" i="7" s="1"/>
  <c r="P267" i="7"/>
  <c r="E267" i="7" s="1"/>
  <c r="P266" i="7"/>
  <c r="E266" i="7" s="1"/>
  <c r="G266" i="7" s="1"/>
  <c r="H266" i="7" s="1"/>
  <c r="P265" i="7"/>
  <c r="E265" i="7" s="1"/>
  <c r="P264" i="7"/>
  <c r="E264" i="7" s="1"/>
  <c r="P263" i="7"/>
  <c r="E263" i="7" s="1"/>
  <c r="P262" i="7"/>
  <c r="E262" i="7" s="1"/>
  <c r="P261" i="7"/>
  <c r="E261" i="7" s="1"/>
  <c r="P260" i="7"/>
  <c r="E260" i="7" s="1"/>
  <c r="G260" i="7" s="1"/>
  <c r="H260" i="7" s="1"/>
  <c r="P259" i="7"/>
  <c r="E259" i="7" s="1"/>
  <c r="P258" i="7"/>
  <c r="E258" i="7" s="1"/>
  <c r="G258" i="7" s="1"/>
  <c r="H258" i="7" s="1"/>
  <c r="P257" i="7"/>
  <c r="E257" i="7" s="1"/>
  <c r="P256" i="7"/>
  <c r="E256" i="7" s="1"/>
  <c r="G256" i="7" s="1"/>
  <c r="H256" i="7" s="1"/>
  <c r="P255" i="7"/>
  <c r="E255" i="7" s="1"/>
  <c r="P254" i="7"/>
  <c r="E254" i="7" s="1"/>
  <c r="P253" i="7"/>
  <c r="E253" i="7" s="1"/>
  <c r="P252" i="7"/>
  <c r="E252" i="7" s="1"/>
  <c r="P251" i="7"/>
  <c r="E251" i="7" s="1"/>
  <c r="P250" i="7"/>
  <c r="E250" i="7" s="1"/>
  <c r="G250" i="7" s="1"/>
  <c r="H250" i="7" s="1"/>
  <c r="P249" i="7"/>
  <c r="E249" i="7" s="1"/>
  <c r="P248" i="7"/>
  <c r="E248" i="7" s="1"/>
  <c r="G248" i="7" s="1"/>
  <c r="H248" i="7" s="1"/>
  <c r="P247" i="7"/>
  <c r="E247" i="7" s="1"/>
  <c r="P246" i="7"/>
  <c r="E246" i="7" s="1"/>
  <c r="G246" i="7" s="1"/>
  <c r="H246" i="7" s="1"/>
  <c r="E245" i="7"/>
  <c r="G245" i="7" s="1"/>
  <c r="H245" i="7" s="1"/>
  <c r="P244" i="7"/>
  <c r="E244" i="7" s="1"/>
  <c r="G244" i="7" s="1"/>
  <c r="H244" i="7" s="1"/>
  <c r="P243" i="7"/>
  <c r="E243" i="7" s="1"/>
  <c r="G243" i="7" s="1"/>
  <c r="H243" i="7" s="1"/>
  <c r="P242" i="7"/>
  <c r="E242" i="7" s="1"/>
  <c r="P241" i="7"/>
  <c r="E241" i="7" s="1"/>
  <c r="G241" i="7" s="1"/>
  <c r="H241" i="7" s="1"/>
  <c r="P240" i="7"/>
  <c r="E240" i="7" s="1"/>
  <c r="P239" i="7"/>
  <c r="E239" i="7" s="1"/>
  <c r="G239" i="7" s="1"/>
  <c r="H239" i="7" s="1"/>
  <c r="P238" i="7"/>
  <c r="E238" i="7" s="1"/>
  <c r="G238" i="7" s="1"/>
  <c r="H238" i="7" s="1"/>
  <c r="P237" i="7"/>
  <c r="E237" i="7" s="1"/>
  <c r="P236" i="7"/>
  <c r="E236" i="7" s="1"/>
  <c r="G236" i="7" s="1"/>
  <c r="H236" i="7" s="1"/>
  <c r="P235" i="7"/>
  <c r="E235" i="7" s="1"/>
  <c r="G235" i="7" s="1"/>
  <c r="H235" i="7" s="1"/>
  <c r="P234" i="7"/>
  <c r="E234" i="7" s="1"/>
  <c r="P233" i="7"/>
  <c r="E233" i="7" s="1"/>
  <c r="G233" i="7" s="1"/>
  <c r="H233" i="7" s="1"/>
  <c r="F233" i="7"/>
  <c r="F209" i="7" s="1"/>
  <c r="P232" i="7"/>
  <c r="E232" i="7" s="1"/>
  <c r="P231" i="7"/>
  <c r="E231" i="7" s="1"/>
  <c r="G231" i="7" s="1"/>
  <c r="H231" i="7" s="1"/>
  <c r="P230" i="7"/>
  <c r="E230" i="7" s="1"/>
  <c r="P229" i="7"/>
  <c r="E229" i="7" s="1"/>
  <c r="P228" i="7"/>
  <c r="E228" i="7" s="1"/>
  <c r="G228" i="7" s="1"/>
  <c r="H228" i="7" s="1"/>
  <c r="P227" i="7"/>
  <c r="E227" i="7" s="1"/>
  <c r="G227" i="7" s="1"/>
  <c r="H227" i="7" s="1"/>
  <c r="P226" i="7"/>
  <c r="E226" i="7" s="1"/>
  <c r="G226" i="7" s="1"/>
  <c r="H226" i="7" s="1"/>
  <c r="P225" i="7"/>
  <c r="E225" i="7" s="1"/>
  <c r="P224" i="7"/>
  <c r="E224" i="7" s="1"/>
  <c r="G224" i="7" s="1"/>
  <c r="H224" i="7" s="1"/>
  <c r="P223" i="7"/>
  <c r="E223" i="7" s="1"/>
  <c r="P222" i="7"/>
  <c r="E222" i="7" s="1"/>
  <c r="P221" i="7"/>
  <c r="E221" i="7" s="1"/>
  <c r="P220" i="7"/>
  <c r="E220" i="7" s="1"/>
  <c r="G220" i="7" s="1"/>
  <c r="H220" i="7" s="1"/>
  <c r="P219" i="7"/>
  <c r="E219" i="7" s="1"/>
  <c r="P218" i="7"/>
  <c r="E218" i="7" s="1"/>
  <c r="G218" i="7" s="1"/>
  <c r="H218" i="7" s="1"/>
  <c r="P217" i="7"/>
  <c r="E217" i="7" s="1"/>
  <c r="P216" i="7"/>
  <c r="E216" i="7" s="1"/>
  <c r="G216" i="7" s="1"/>
  <c r="H216" i="7" s="1"/>
  <c r="P215" i="7"/>
  <c r="E215" i="7" s="1"/>
  <c r="P214" i="7"/>
  <c r="E214" i="7" s="1"/>
  <c r="P213" i="7"/>
  <c r="E213" i="7" s="1"/>
  <c r="G213" i="7" s="1"/>
  <c r="H213" i="7" s="1"/>
  <c r="P212" i="7"/>
  <c r="P211" i="7"/>
  <c r="E211" i="7" s="1"/>
  <c r="P210" i="7"/>
  <c r="E210" i="7" s="1"/>
  <c r="G210" i="7" s="1"/>
  <c r="H210" i="7" s="1"/>
  <c r="D209" i="7"/>
  <c r="P208" i="7"/>
  <c r="P207" i="7"/>
  <c r="P205" i="7"/>
  <c r="P204" i="7"/>
  <c r="P203" i="7"/>
  <c r="P202" i="7"/>
  <c r="P201" i="7"/>
  <c r="P200" i="7"/>
  <c r="F198" i="7"/>
  <c r="D198" i="7"/>
  <c r="P197" i="7"/>
  <c r="P196" i="7"/>
  <c r="P195" i="7"/>
  <c r="P194" i="7"/>
  <c r="P192" i="7"/>
  <c r="P188" i="7"/>
  <c r="F186" i="7"/>
  <c r="D186" i="7"/>
  <c r="P184" i="7"/>
  <c r="P182" i="7"/>
  <c r="P181" i="7"/>
  <c r="P180" i="7"/>
  <c r="P179" i="7"/>
  <c r="P178" i="7"/>
  <c r="F176" i="7"/>
  <c r="D176" i="7"/>
  <c r="P175" i="7"/>
  <c r="D171" i="7"/>
  <c r="G170" i="7"/>
  <c r="H170" i="7" s="1"/>
  <c r="P169" i="7"/>
  <c r="G169" i="7"/>
  <c r="H169" i="7" s="1"/>
  <c r="F167" i="7"/>
  <c r="P166" i="7"/>
  <c r="P165" i="7" s="1"/>
  <c r="F159" i="7"/>
  <c r="P158" i="7"/>
  <c r="P157" i="7" s="1"/>
  <c r="E157" i="7" s="1"/>
  <c r="P156" i="7"/>
  <c r="P155" i="7"/>
  <c r="D153" i="7"/>
  <c r="P152" i="7"/>
  <c r="P151" i="7"/>
  <c r="P150" i="7"/>
  <c r="P149" i="7"/>
  <c r="P148" i="7"/>
  <c r="P145" i="7"/>
  <c r="P144" i="7"/>
  <c r="P141" i="7"/>
  <c r="P139" i="7"/>
  <c r="P138" i="7" s="1"/>
  <c r="E138" i="7" s="1"/>
  <c r="F137" i="7"/>
  <c r="D137" i="7"/>
  <c r="P136" i="7"/>
  <c r="P135" i="7"/>
  <c r="P133" i="7"/>
  <c r="P132" i="7" s="1"/>
  <c r="E132" i="7" s="1"/>
  <c r="P131" i="7"/>
  <c r="P128" i="7"/>
  <c r="E128" i="7" s="1"/>
  <c r="P122" i="7"/>
  <c r="E122" i="7" s="1"/>
  <c r="P121" i="7"/>
  <c r="P120" i="7" s="1"/>
  <c r="E120" i="7" s="1"/>
  <c r="G120" i="7" s="1"/>
  <c r="H120" i="7" s="1"/>
  <c r="P119" i="7"/>
  <c r="P118" i="7"/>
  <c r="D116" i="7"/>
  <c r="F103" i="7"/>
  <c r="D103" i="7"/>
  <c r="P102" i="7"/>
  <c r="P101" i="7" s="1"/>
  <c r="E101" i="7" s="1"/>
  <c r="G99" i="7"/>
  <c r="H99" i="7" s="1"/>
  <c r="P97" i="7"/>
  <c r="P96" i="7"/>
  <c r="G94" i="7"/>
  <c r="H94" i="7" s="1"/>
  <c r="F90" i="7"/>
  <c r="D90" i="7"/>
  <c r="P88" i="7"/>
  <c r="P87" i="7" s="1"/>
  <c r="E87" i="7" s="1"/>
  <c r="G87" i="7" s="1"/>
  <c r="H87" i="7" s="1"/>
  <c r="P86" i="7"/>
  <c r="P85" i="7" s="1"/>
  <c r="E85" i="7" s="1"/>
  <c r="P84" i="7"/>
  <c r="P83" i="7" s="1"/>
  <c r="F82" i="7"/>
  <c r="D82" i="7"/>
  <c r="P72" i="7"/>
  <c r="G72" i="7"/>
  <c r="H72" i="7" s="1"/>
  <c r="P71" i="7"/>
  <c r="G71" i="7"/>
  <c r="H71" i="7" s="1"/>
  <c r="P76" i="7"/>
  <c r="P75" i="7"/>
  <c r="P69" i="7"/>
  <c r="P68" i="7"/>
  <c r="P67" i="7"/>
  <c r="P66" i="7"/>
  <c r="P64" i="7"/>
  <c r="G64" i="7"/>
  <c r="H64" i="7" s="1"/>
  <c r="P63" i="7"/>
  <c r="G63" i="7"/>
  <c r="H63" i="7" s="1"/>
  <c r="P62" i="7"/>
  <c r="G62" i="7"/>
  <c r="H62" i="7" s="1"/>
  <c r="P60" i="7"/>
  <c r="G60" i="7"/>
  <c r="H60" i="7" s="1"/>
  <c r="P59" i="7"/>
  <c r="P58" i="7"/>
  <c r="G58" i="7"/>
  <c r="H58" i="7" s="1"/>
  <c r="P57" i="7"/>
  <c r="P56" i="7"/>
  <c r="G56" i="7"/>
  <c r="H56" i="7" s="1"/>
  <c r="P55" i="7"/>
  <c r="P53" i="7"/>
  <c r="P52" i="7" s="1"/>
  <c r="E52" i="7" s="1"/>
  <c r="G53" i="7"/>
  <c r="H53" i="7" s="1"/>
  <c r="F51" i="7"/>
  <c r="D51" i="7"/>
  <c r="P50" i="7"/>
  <c r="G50" i="7"/>
  <c r="H50" i="7" s="1"/>
  <c r="P49" i="7"/>
  <c r="P48" i="7"/>
  <c r="G48" i="7"/>
  <c r="H48" i="7" s="1"/>
  <c r="P47" i="7"/>
  <c r="P46" i="7"/>
  <c r="G46" i="7"/>
  <c r="H46" i="7" s="1"/>
  <c r="P44" i="7"/>
  <c r="P43" i="7"/>
  <c r="P40" i="7"/>
  <c r="P39" i="7"/>
  <c r="P38" i="7"/>
  <c r="F36" i="7"/>
  <c r="D36" i="7"/>
  <c r="P35" i="7"/>
  <c r="P34" i="7"/>
  <c r="P33" i="7"/>
  <c r="P32" i="7"/>
  <c r="P31" i="7"/>
  <c r="P29" i="7"/>
  <c r="G29" i="7"/>
  <c r="H29" i="7" s="1"/>
  <c r="P28" i="7"/>
  <c r="G28" i="7"/>
  <c r="H28" i="7" s="1"/>
  <c r="G27" i="7"/>
  <c r="H27" i="7" s="1"/>
  <c r="G26" i="7"/>
  <c r="H26" i="7" s="1"/>
  <c r="G25" i="7"/>
  <c r="H25" i="7" s="1"/>
  <c r="G23" i="7"/>
  <c r="H23" i="7" s="1"/>
  <c r="P21" i="7"/>
  <c r="P20" i="7"/>
  <c r="P19" i="7"/>
  <c r="P18" i="7"/>
  <c r="P17" i="7"/>
  <c r="P16" i="7"/>
  <c r="P15" i="7"/>
  <c r="P14" i="7"/>
  <c r="P12" i="7"/>
  <c r="AC26" i="7" s="1"/>
  <c r="AC27" i="7" s="1"/>
  <c r="P11" i="7"/>
  <c r="P10" i="7"/>
  <c r="P9" i="7"/>
  <c r="F7" i="7"/>
  <c r="D7" i="7"/>
  <c r="F5" i="7"/>
  <c r="P94" i="6"/>
  <c r="G94" i="6"/>
  <c r="H94" i="6" s="1"/>
  <c r="P93" i="6"/>
  <c r="P92" i="6"/>
  <c r="H92" i="6"/>
  <c r="P90" i="6"/>
  <c r="E90" i="6" s="1"/>
  <c r="G90" i="6" s="1"/>
  <c r="H90" i="6" s="1"/>
  <c r="P89" i="6"/>
  <c r="E89" i="6" s="1"/>
  <c r="D88" i="6"/>
  <c r="D87" i="6" s="1"/>
  <c r="F87" i="6"/>
  <c r="P86" i="6"/>
  <c r="E86" i="6" s="1"/>
  <c r="P85" i="6"/>
  <c r="E85" i="6" s="1"/>
  <c r="G85" i="6" s="1"/>
  <c r="H85" i="6" s="1"/>
  <c r="P84" i="6"/>
  <c r="E84" i="6" s="1"/>
  <c r="F83" i="6"/>
  <c r="F82" i="6" s="1"/>
  <c r="D83" i="6"/>
  <c r="D82" i="6" s="1"/>
  <c r="P81" i="6"/>
  <c r="P79" i="6"/>
  <c r="P77" i="6"/>
  <c r="G77" i="6"/>
  <c r="P76" i="6"/>
  <c r="P74" i="6"/>
  <c r="P73" i="6"/>
  <c r="P71" i="6"/>
  <c r="G71" i="6"/>
  <c r="P70" i="6"/>
  <c r="G70" i="6"/>
  <c r="F68" i="6"/>
  <c r="F67" i="6" s="1"/>
  <c r="D68" i="6"/>
  <c r="D67" i="6" s="1"/>
  <c r="P66" i="6"/>
  <c r="P65" i="6"/>
  <c r="H65" i="6"/>
  <c r="P64" i="6"/>
  <c r="P63" i="6"/>
  <c r="P62" i="6"/>
  <c r="P61" i="6"/>
  <c r="P60" i="6"/>
  <c r="H60" i="6"/>
  <c r="P59" i="6"/>
  <c r="G59" i="6"/>
  <c r="H59" i="6" s="1"/>
  <c r="P57" i="6"/>
  <c r="P56" i="6" s="1"/>
  <c r="E56" i="6" s="1"/>
  <c r="G56" i="6" s="1"/>
  <c r="H56" i="6" s="1"/>
  <c r="F55" i="6"/>
  <c r="D55" i="6"/>
  <c r="P54" i="6"/>
  <c r="P53" i="6"/>
  <c r="P52" i="6"/>
  <c r="P51" i="6"/>
  <c r="P49" i="6"/>
  <c r="P48" i="6"/>
  <c r="P47" i="6"/>
  <c r="P45" i="6"/>
  <c r="P44" i="6"/>
  <c r="P43" i="6"/>
  <c r="P42" i="6"/>
  <c r="P40" i="6"/>
  <c r="P39" i="6" s="1"/>
  <c r="E39" i="6" s="1"/>
  <c r="G39" i="6" s="1"/>
  <c r="H39" i="6" s="1"/>
  <c r="F38" i="6"/>
  <c r="D38" i="6"/>
  <c r="P36" i="6"/>
  <c r="P35" i="6" s="1"/>
  <c r="P34" i="6" s="1"/>
  <c r="P33" i="6" s="1"/>
  <c r="F34" i="6"/>
  <c r="F33" i="6" s="1"/>
  <c r="D34" i="6"/>
  <c r="D33" i="6" s="1"/>
  <c r="D28" i="6"/>
  <c r="D27" i="6" s="1"/>
  <c r="P26" i="6"/>
  <c r="P25" i="6" s="1"/>
  <c r="E25" i="6" s="1"/>
  <c r="G25" i="6" s="1"/>
  <c r="P24" i="6"/>
  <c r="P23" i="6"/>
  <c r="P21" i="6"/>
  <c r="P19" i="6"/>
  <c r="P18" i="6" s="1"/>
  <c r="E18" i="6" s="1"/>
  <c r="G18" i="6" s="1"/>
  <c r="P17" i="6"/>
  <c r="P15" i="6"/>
  <c r="P14" i="6"/>
  <c r="P13" i="6"/>
  <c r="P12" i="6"/>
  <c r="P11" i="6"/>
  <c r="P10" i="6"/>
  <c r="F8" i="6"/>
  <c r="F7" i="6" s="1"/>
  <c r="D8" i="6"/>
  <c r="D7" i="6" s="1"/>
  <c r="F6" i="6"/>
  <c r="P314" i="7" l="1"/>
  <c r="E314" i="7" s="1"/>
  <c r="G314" i="7" s="1"/>
  <c r="H314" i="7" s="1"/>
  <c r="P73" i="7"/>
  <c r="P37" i="7"/>
  <c r="F37" i="6"/>
  <c r="F28" i="6" s="1"/>
  <c r="F27" i="6" s="1"/>
  <c r="E35" i="6"/>
  <c r="P72" i="6"/>
  <c r="E72" i="6" s="1"/>
  <c r="P183" i="7"/>
  <c r="E183" i="7" s="1"/>
  <c r="G183" i="7" s="1"/>
  <c r="H183" i="7" s="1"/>
  <c r="G160" i="7"/>
  <c r="H160" i="7" s="1"/>
  <c r="P159" i="7"/>
  <c r="P95" i="7"/>
  <c r="P143" i="7"/>
  <c r="E143" i="7" s="1"/>
  <c r="G143" i="7" s="1"/>
  <c r="H143" i="7" s="1"/>
  <c r="P154" i="7"/>
  <c r="E154" i="7" s="1"/>
  <c r="P91" i="6"/>
  <c r="E91" i="6" s="1"/>
  <c r="P50" i="6"/>
  <c r="E50" i="6" s="1"/>
  <c r="G50" i="6" s="1"/>
  <c r="H50" i="6" s="1"/>
  <c r="P46" i="6"/>
  <c r="E46" i="6" s="1"/>
  <c r="D37" i="6"/>
  <c r="D6" i="6" s="1"/>
  <c r="P206" i="7"/>
  <c r="E206" i="7" s="1"/>
  <c r="G206" i="7" s="1"/>
  <c r="G295" i="7"/>
  <c r="H295" i="7" s="1"/>
  <c r="G128" i="7"/>
  <c r="H128" i="7" s="1"/>
  <c r="G284" i="7"/>
  <c r="H284" i="7" s="1"/>
  <c r="P134" i="7"/>
  <c r="G267" i="7"/>
  <c r="H267" i="7" s="1"/>
  <c r="P310" i="7"/>
  <c r="E310" i="7" s="1"/>
  <c r="P306" i="7"/>
  <c r="E306" i="7" s="1"/>
  <c r="G86" i="6"/>
  <c r="H86" i="6" s="1"/>
  <c r="G264" i="7"/>
  <c r="H264" i="7" s="1"/>
  <c r="G237" i="7"/>
  <c r="H237" i="7" s="1"/>
  <c r="G252" i="7"/>
  <c r="H252" i="7" s="1"/>
  <c r="G286" i="7"/>
  <c r="H286" i="7" s="1"/>
  <c r="G223" i="7"/>
  <c r="H223" i="7" s="1"/>
  <c r="G259" i="7"/>
  <c r="H259" i="7" s="1"/>
  <c r="G122" i="7"/>
  <c r="H122" i="7" s="1"/>
  <c r="G254" i="7"/>
  <c r="H254" i="7" s="1"/>
  <c r="P45" i="7"/>
  <c r="E45" i="7" s="1"/>
  <c r="G45" i="7" s="1"/>
  <c r="H45" i="7" s="1"/>
  <c r="P117" i="7"/>
  <c r="E117" i="7" s="1"/>
  <c r="P147" i="7"/>
  <c r="P146" i="7" s="1"/>
  <c r="E146" i="7" s="1"/>
  <c r="G146" i="7" s="1"/>
  <c r="H146" i="7" s="1"/>
  <c r="P8" i="7"/>
  <c r="F6" i="7"/>
  <c r="P54" i="7"/>
  <c r="P91" i="7"/>
  <c r="E91" i="7" s="1"/>
  <c r="G91" i="7" s="1"/>
  <c r="H91" i="7" s="1"/>
  <c r="P140" i="7"/>
  <c r="E140" i="7" s="1"/>
  <c r="D89" i="7"/>
  <c r="G247" i="7"/>
  <c r="H247" i="7" s="1"/>
  <c r="E165" i="7"/>
  <c r="G165" i="7" s="1"/>
  <c r="G262" i="7"/>
  <c r="H262" i="7" s="1"/>
  <c r="G225" i="7"/>
  <c r="H225" i="7" s="1"/>
  <c r="G279" i="7"/>
  <c r="H279" i="7" s="1"/>
  <c r="G229" i="7"/>
  <c r="H229" i="7" s="1"/>
  <c r="G274" i="7"/>
  <c r="H274" i="7" s="1"/>
  <c r="G217" i="7"/>
  <c r="H217" i="7" s="1"/>
  <c r="G257" i="7"/>
  <c r="H257" i="7" s="1"/>
  <c r="G281" i="7"/>
  <c r="H281" i="7" s="1"/>
  <c r="P20" i="6"/>
  <c r="E20" i="6" s="1"/>
  <c r="G20" i="6" s="1"/>
  <c r="H20" i="6" s="1"/>
  <c r="P83" i="6"/>
  <c r="P82" i="6" s="1"/>
  <c r="G132" i="7"/>
  <c r="H132" i="7" s="1"/>
  <c r="G251" i="7"/>
  <c r="H251" i="7" s="1"/>
  <c r="G255" i="7"/>
  <c r="H255" i="7" s="1"/>
  <c r="G269" i="7"/>
  <c r="H269" i="7" s="1"/>
  <c r="G214" i="7"/>
  <c r="H214" i="7" s="1"/>
  <c r="G242" i="7"/>
  <c r="H242" i="7" s="1"/>
  <c r="G261" i="7"/>
  <c r="H261" i="7" s="1"/>
  <c r="G273" i="7"/>
  <c r="H273" i="7" s="1"/>
  <c r="G285" i="7"/>
  <c r="H285" i="7" s="1"/>
  <c r="E83" i="7"/>
  <c r="E82" i="7" s="1"/>
  <c r="G82" i="7" s="1"/>
  <c r="H82" i="7" s="1"/>
  <c r="P82" i="7"/>
  <c r="G157" i="7"/>
  <c r="H157" i="7" s="1"/>
  <c r="G232" i="7"/>
  <c r="H232" i="7" s="1"/>
  <c r="G234" i="7"/>
  <c r="H234" i="7" s="1"/>
  <c r="G240" i="7"/>
  <c r="H240" i="7" s="1"/>
  <c r="G249" i="7"/>
  <c r="H249" i="7" s="1"/>
  <c r="G253" i="7"/>
  <c r="H253" i="7" s="1"/>
  <c r="G277" i="7"/>
  <c r="H277" i="7" s="1"/>
  <c r="G293" i="7"/>
  <c r="H293" i="7" s="1"/>
  <c r="G299" i="7"/>
  <c r="H299" i="7" s="1"/>
  <c r="G271" i="7"/>
  <c r="H271" i="7" s="1"/>
  <c r="P29" i="6"/>
  <c r="P28" i="6" s="1"/>
  <c r="P27" i="6" s="1"/>
  <c r="P78" i="6"/>
  <c r="E78" i="6" s="1"/>
  <c r="G222" i="7"/>
  <c r="H222" i="7" s="1"/>
  <c r="G230" i="7"/>
  <c r="H230" i="7" s="1"/>
  <c r="G263" i="7"/>
  <c r="H263" i="7" s="1"/>
  <c r="G265" i="7"/>
  <c r="H265" i="7" s="1"/>
  <c r="G275" i="7"/>
  <c r="H275" i="7" s="1"/>
  <c r="G283" i="7"/>
  <c r="H283" i="7" s="1"/>
  <c r="G287" i="7"/>
  <c r="G297" i="7"/>
  <c r="H297" i="7" s="1"/>
  <c r="P58" i="6"/>
  <c r="E58" i="6" s="1"/>
  <c r="E55" i="6" s="1"/>
  <c r="G55" i="6" s="1"/>
  <c r="H55" i="6" s="1"/>
  <c r="P75" i="6"/>
  <c r="E75" i="6" s="1"/>
  <c r="G75" i="6" s="1"/>
  <c r="H75" i="6" s="1"/>
  <c r="P13" i="7"/>
  <c r="E13" i="7" s="1"/>
  <c r="G13" i="7" s="1"/>
  <c r="H13" i="7" s="1"/>
  <c r="P42" i="7"/>
  <c r="E42" i="7" s="1"/>
  <c r="P61" i="7"/>
  <c r="P168" i="7"/>
  <c r="P187" i="7"/>
  <c r="E187" i="7" s="1"/>
  <c r="P193" i="7"/>
  <c r="E193" i="7" s="1"/>
  <c r="G193" i="7" s="1"/>
  <c r="H193" i="7" s="1"/>
  <c r="P9" i="6"/>
  <c r="P8" i="6" s="1"/>
  <c r="P7" i="6" s="1"/>
  <c r="P69" i="6"/>
  <c r="E69" i="6" s="1"/>
  <c r="P30" i="7"/>
  <c r="P70" i="7"/>
  <c r="E70" i="7" s="1"/>
  <c r="G70" i="7" s="1"/>
  <c r="H70" i="7" s="1"/>
  <c r="P302" i="7"/>
  <c r="E302" i="7" s="1"/>
  <c r="D6" i="7"/>
  <c r="G46" i="6"/>
  <c r="H46" i="6" s="1"/>
  <c r="G72" i="6"/>
  <c r="H72" i="6" s="1"/>
  <c r="G35" i="6"/>
  <c r="H35" i="6" s="1"/>
  <c r="G221" i="7"/>
  <c r="H221" i="7" s="1"/>
  <c r="P41" i="6"/>
  <c r="G101" i="7"/>
  <c r="H101" i="7" s="1"/>
  <c r="G138" i="7"/>
  <c r="G211" i="7"/>
  <c r="H211" i="7" s="1"/>
  <c r="G219" i="7"/>
  <c r="H219" i="7" s="1"/>
  <c r="G89" i="6"/>
  <c r="H89" i="6" s="1"/>
  <c r="E83" i="6"/>
  <c r="G84" i="6"/>
  <c r="H84" i="6" s="1"/>
  <c r="AC25" i="7"/>
  <c r="AC28" i="7" s="1"/>
  <c r="G52" i="7"/>
  <c r="H52" i="7" s="1"/>
  <c r="G85" i="7"/>
  <c r="H85" i="7" s="1"/>
  <c r="E212" i="7"/>
  <c r="P209" i="7"/>
  <c r="E209" i="7" s="1"/>
  <c r="G209" i="7" s="1"/>
  <c r="H209" i="7" s="1"/>
  <c r="G215" i="7"/>
  <c r="H215" i="7" s="1"/>
  <c r="P65" i="7"/>
  <c r="P172" i="7"/>
  <c r="P177" i="7"/>
  <c r="F89" i="7"/>
  <c r="P199" i="7"/>
  <c r="P98" i="7"/>
  <c r="P130" i="7"/>
  <c r="E130" i="7" s="1"/>
  <c r="E168" i="7" l="1"/>
  <c r="E167" i="7" s="1"/>
  <c r="P167" i="7"/>
  <c r="P55" i="6"/>
  <c r="E134" i="7"/>
  <c r="G134" i="7" s="1"/>
  <c r="H134" i="7" s="1"/>
  <c r="P116" i="7"/>
  <c r="E8" i="7"/>
  <c r="G58" i="6"/>
  <c r="H58" i="6" s="1"/>
  <c r="P305" i="7"/>
  <c r="E34" i="6"/>
  <c r="G34" i="6" s="1"/>
  <c r="H34" i="6" s="1"/>
  <c r="P153" i="7"/>
  <c r="H310" i="7"/>
  <c r="J23" i="7"/>
  <c r="P23" i="7" s="1"/>
  <c r="P22" i="7" s="1"/>
  <c r="E22" i="7" s="1"/>
  <c r="G22" i="7" s="1"/>
  <c r="H22" i="7" s="1"/>
  <c r="E95" i="7"/>
  <c r="G95" i="7" s="1"/>
  <c r="H95" i="7" s="1"/>
  <c r="J25" i="7"/>
  <c r="P25" i="7" s="1"/>
  <c r="D5" i="7"/>
  <c r="P103" i="7"/>
  <c r="E103" i="7" s="1"/>
  <c r="G103" i="7" s="1"/>
  <c r="H103" i="7" s="1"/>
  <c r="G140" i="7"/>
  <c r="H140" i="7" s="1"/>
  <c r="G154" i="7"/>
  <c r="H154" i="7" s="1"/>
  <c r="E153" i="7"/>
  <c r="G153" i="7" s="1"/>
  <c r="H153" i="7" s="1"/>
  <c r="G91" i="6"/>
  <c r="H91" i="6" s="1"/>
  <c r="P68" i="6"/>
  <c r="E68" i="6" s="1"/>
  <c r="P88" i="6"/>
  <c r="P87" i="6" s="1"/>
  <c r="E88" i="6"/>
  <c r="P301" i="7"/>
  <c r="P90" i="7"/>
  <c r="P51" i="7"/>
  <c r="P137" i="7"/>
  <c r="E137" i="7" s="1"/>
  <c r="G137" i="7" s="1"/>
  <c r="H137" i="7" s="1"/>
  <c r="G310" i="7"/>
  <c r="P36" i="7"/>
  <c r="P186" i="7"/>
  <c r="E54" i="7"/>
  <c r="G54" i="7" s="1"/>
  <c r="H54" i="7" s="1"/>
  <c r="E29" i="6"/>
  <c r="E28" i="6" s="1"/>
  <c r="E30" i="7"/>
  <c r="G30" i="7" s="1"/>
  <c r="H30" i="7" s="1"/>
  <c r="E37" i="7"/>
  <c r="G37" i="7" s="1"/>
  <c r="H37" i="7" s="1"/>
  <c r="G69" i="6"/>
  <c r="H69" i="6" s="1"/>
  <c r="G167" i="7"/>
  <c r="H167" i="7" s="1"/>
  <c r="G168" i="7"/>
  <c r="H168" i="7" s="1"/>
  <c r="G78" i="6"/>
  <c r="H78" i="6" s="1"/>
  <c r="G42" i="7"/>
  <c r="H42" i="7" s="1"/>
  <c r="E159" i="7"/>
  <c r="G159" i="7" s="1"/>
  <c r="H159" i="7" s="1"/>
  <c r="E61" i="7"/>
  <c r="G61" i="7" s="1"/>
  <c r="H61" i="7" s="1"/>
  <c r="G83" i="7"/>
  <c r="H83" i="7" s="1"/>
  <c r="G130" i="7"/>
  <c r="H130" i="7" s="1"/>
  <c r="P176" i="7"/>
  <c r="E177" i="7"/>
  <c r="G8" i="7"/>
  <c r="H8" i="7" s="1"/>
  <c r="E186" i="7"/>
  <c r="G186" i="7" s="1"/>
  <c r="H186" i="7" s="1"/>
  <c r="G187" i="7"/>
  <c r="H187" i="7" s="1"/>
  <c r="G117" i="7"/>
  <c r="H117" i="7" s="1"/>
  <c r="P198" i="7"/>
  <c r="E199" i="7"/>
  <c r="E172" i="7"/>
  <c r="P171" i="7"/>
  <c r="E171" i="7" s="1"/>
  <c r="G171" i="7" s="1"/>
  <c r="H171" i="7" s="1"/>
  <c r="E65" i="7"/>
  <c r="G212" i="7"/>
  <c r="H212" i="7" s="1"/>
  <c r="E305" i="7"/>
  <c r="G305" i="7" s="1"/>
  <c r="H305" i="7" s="1"/>
  <c r="G306" i="7"/>
  <c r="H306" i="7" s="1"/>
  <c r="E73" i="7"/>
  <c r="G73" i="7" s="1"/>
  <c r="H73" i="7" s="1"/>
  <c r="G83" i="6"/>
  <c r="H83" i="6" s="1"/>
  <c r="E82" i="6"/>
  <c r="G82" i="6" s="1"/>
  <c r="H82" i="6" s="1"/>
  <c r="E98" i="7"/>
  <c r="E301" i="7"/>
  <c r="G301" i="7" s="1"/>
  <c r="H301" i="7" s="1"/>
  <c r="G302" i="7"/>
  <c r="H302" i="7" s="1"/>
  <c r="E41" i="6"/>
  <c r="P38" i="6"/>
  <c r="P37" i="6" s="1"/>
  <c r="E116" i="7"/>
  <c r="G116" i="7" s="1"/>
  <c r="H116" i="7" s="1"/>
  <c r="E36" i="7" l="1"/>
  <c r="G36" i="7" s="1"/>
  <c r="H36" i="7" s="1"/>
  <c r="E8" i="6"/>
  <c r="E7" i="6" s="1"/>
  <c r="G9" i="6"/>
  <c r="H9" i="6" s="1"/>
  <c r="G29" i="6"/>
  <c r="H29" i="6" s="1"/>
  <c r="E33" i="6"/>
  <c r="G33" i="6" s="1"/>
  <c r="H33" i="6" s="1"/>
  <c r="P67" i="6"/>
  <c r="J26" i="7"/>
  <c r="P26" i="7" s="1"/>
  <c r="J27" i="7" s="1"/>
  <c r="P27" i="7" s="1"/>
  <c r="P24" i="7" s="1"/>
  <c r="E87" i="6"/>
  <c r="G88" i="6"/>
  <c r="P6" i="6"/>
  <c r="G68" i="6"/>
  <c r="H68" i="6" s="1"/>
  <c r="E67" i="6"/>
  <c r="G67" i="6" s="1"/>
  <c r="H67" i="6" s="1"/>
  <c r="G172" i="7"/>
  <c r="H172" i="7" s="1"/>
  <c r="G28" i="6"/>
  <c r="H28" i="6" s="1"/>
  <c r="E27" i="6"/>
  <c r="G27" i="6" s="1"/>
  <c r="H27" i="6" s="1"/>
  <c r="G98" i="7"/>
  <c r="H98" i="7" s="1"/>
  <c r="E90" i="7"/>
  <c r="G41" i="6"/>
  <c r="H41" i="6" s="1"/>
  <c r="E38" i="6"/>
  <c r="G65" i="7"/>
  <c r="H65" i="7" s="1"/>
  <c r="E51" i="7"/>
  <c r="G51" i="7" s="1"/>
  <c r="H51" i="7" s="1"/>
  <c r="E198" i="7"/>
  <c r="G198" i="7" s="1"/>
  <c r="H198" i="7" s="1"/>
  <c r="G199" i="7"/>
  <c r="H199" i="7" s="1"/>
  <c r="G8" i="6"/>
  <c r="H8" i="6" s="1"/>
  <c r="E176" i="7"/>
  <c r="G176" i="7" s="1"/>
  <c r="H176" i="7" s="1"/>
  <c r="G177" i="7"/>
  <c r="H177" i="7" s="1"/>
  <c r="P89" i="7"/>
  <c r="H88" i="6" l="1"/>
  <c r="G87" i="6"/>
  <c r="H87" i="6" s="1"/>
  <c r="G90" i="7"/>
  <c r="H90" i="7" s="1"/>
  <c r="E89" i="7"/>
  <c r="G89" i="7" s="1"/>
  <c r="H89" i="7" s="1"/>
  <c r="G7" i="6"/>
  <c r="H7" i="6" s="1"/>
  <c r="G38" i="6"/>
  <c r="H38" i="6" s="1"/>
  <c r="E37" i="6"/>
  <c r="G37" i="6" s="1"/>
  <c r="H37" i="6" s="1"/>
  <c r="E24" i="7"/>
  <c r="P7" i="7"/>
  <c r="P6" i="7" s="1"/>
  <c r="P5" i="7" s="1"/>
  <c r="G24" i="7" l="1"/>
  <c r="H24" i="7" s="1"/>
  <c r="E7" i="7"/>
  <c r="E6" i="6"/>
  <c r="G6" i="6" s="1"/>
  <c r="H6" i="6" s="1"/>
  <c r="E6" i="7" l="1"/>
  <c r="G7" i="7"/>
  <c r="H7" i="7" s="1"/>
  <c r="G6" i="7" l="1"/>
  <c r="H6" i="7" s="1"/>
  <c r="E5" i="7"/>
  <c r="G5" i="7" s="1"/>
  <c r="H5" i="7" s="1"/>
</calcChain>
</file>

<file path=xl/sharedStrings.xml><?xml version="1.0" encoding="utf-8"?>
<sst xmlns="http://schemas.openxmlformats.org/spreadsheetml/2006/main" count="2281" uniqueCount="470">
  <si>
    <t>내방자 긴급지원</t>
  </si>
  <si>
    <t>성빈센트환경마을</t>
  </si>
  <si>
    <t xml:space="preserve"> - 업무점검교통비</t>
  </si>
  <si>
    <t>한가족장학금 지정후원</t>
  </si>
  <si>
    <t>장애인고용장려금</t>
  </si>
  <si>
    <t>시설인사위원회 회의비</t>
  </si>
  <si>
    <t>시설전출금
(후원금)</t>
  </si>
  <si>
    <t>기타 소송경비 등</t>
  </si>
  <si>
    <t>프란치스코어린이집</t>
  </si>
  <si>
    <t xml:space="preserve"> - 메뉴얼제작비</t>
  </si>
  <si>
    <t>사회복지사업 지원금</t>
  </si>
  <si>
    <t>헬렌켈러주간보호</t>
  </si>
  <si>
    <t>혼배기부 축복미</t>
  </si>
  <si>
    <t>로사리아공동생활</t>
  </si>
  <si>
    <t>임대료 지원(본회)</t>
  </si>
  <si>
    <t>바오로교실주간보호</t>
  </si>
  <si>
    <t>화곡본동성당데이</t>
  </si>
  <si>
    <t>보금자리공동생활</t>
  </si>
  <si>
    <t>바보의나눔 지원금</t>
  </si>
  <si>
    <t>신풍오피스텔 임대</t>
  </si>
  <si>
    <t>시흥4동성당데이</t>
  </si>
  <si>
    <t>사제 사회보험금</t>
  </si>
  <si>
    <t>신림성모성당데이</t>
  </si>
  <si>
    <t>등촌7종합복지관</t>
  </si>
  <si>
    <t>미혼부모 자립지원사업</t>
  </si>
  <si>
    <t>(단위 : 천원)</t>
  </si>
  <si>
    <t>미혼부모가정 자립지원</t>
  </si>
  <si>
    <t>기본재산 매각수입</t>
  </si>
  <si>
    <t>사회사목국 연계</t>
  </si>
  <si>
    <t>2) 재산조성비</t>
  </si>
  <si>
    <t>성가정노인복지관</t>
  </si>
  <si>
    <t>비지정후원이월금</t>
  </si>
  <si>
    <t>헬렌켈러단기거주</t>
  </si>
  <si>
    <t>화해의집 쉼자리</t>
  </si>
  <si>
    <t>후원관리프로그램</t>
  </si>
  <si>
    <t>나자로보호작업장</t>
  </si>
  <si>
    <t>수용비 및
수수료</t>
  </si>
  <si>
    <t>꿈자람터장애인주간</t>
  </si>
  <si>
    <t>중구장애인복지관</t>
  </si>
  <si>
    <t>4) 과년도지출</t>
  </si>
  <si>
    <t>연차보고서 발간</t>
  </si>
  <si>
    <t>한국사회적기업진흥원</t>
  </si>
  <si>
    <t>사회보험
부담금</t>
  </si>
  <si>
    <t>비둘기직업적응훈련시설</t>
  </si>
  <si>
    <t>한빛장애인주간보호</t>
  </si>
  <si>
    <t>대림절 저금통(개인)</t>
  </si>
  <si>
    <t>시설장비
유지비</t>
  </si>
  <si>
    <t>사랑손직업적응훈련시설</t>
  </si>
  <si>
    <t>베들레헴어린이집</t>
  </si>
  <si>
    <t>지정기탁지원사업</t>
  </si>
  <si>
    <t>경동제약지정후원금</t>
  </si>
  <si>
    <t>경동제약 지정기탁사업</t>
  </si>
  <si>
    <t>8) 예비비 및 기타</t>
  </si>
  <si>
    <t>서초3단지어린이집</t>
  </si>
  <si>
    <t>장학사업
지정후원금</t>
  </si>
  <si>
    <t>바오로교실작업장</t>
  </si>
  <si>
    <t>7) 시설전출금</t>
  </si>
  <si>
    <t xml:space="preserve"> 카리타스정체성</t>
  </si>
  <si>
    <t>마로니에공동생활</t>
  </si>
  <si>
    <t>노숙인 야간순회</t>
  </si>
  <si>
    <t xml:space="preserve">동작노인복지관 </t>
  </si>
  <si>
    <t>전기 · 전화요금</t>
  </si>
  <si>
    <t>옥수동아파트 임대수입</t>
  </si>
  <si>
    <t>사순절 저금통(개인)</t>
  </si>
  <si>
    <t>동화나라어린이집</t>
  </si>
  <si>
    <t>한마음한몸
지정후원금</t>
  </si>
  <si>
    <t>취약계층지원사업</t>
  </si>
  <si>
    <t xml:space="preserve"> - 특별업무점검비</t>
  </si>
  <si>
    <t>카리타스정체성과정</t>
  </si>
  <si>
    <t>모범본당 운영지원</t>
  </si>
  <si>
    <t>너울자리공동생활</t>
  </si>
  <si>
    <t>생명존중
문화만들기</t>
  </si>
  <si>
    <t>헬렌켈러공동생활2</t>
  </si>
  <si>
    <t>시범본당 운영지원</t>
  </si>
  <si>
    <t>사업계획 및 평가</t>
  </si>
  <si>
    <t>구리아파트 임대수입</t>
  </si>
  <si>
    <t>비지정후원 예비비</t>
  </si>
  <si>
    <t>동절기노숙인야간순회</t>
  </si>
  <si>
    <t>헬렌켈러공동생활</t>
  </si>
  <si>
    <t>샛별지역아동센터</t>
  </si>
  <si>
    <t>하늘자리공동생활</t>
  </si>
  <si>
    <t>한우리보호작업장</t>
  </si>
  <si>
    <t>한우리정보문화센터</t>
  </si>
  <si>
    <t>본당 사업 지원금</t>
  </si>
  <si>
    <t>양천데이케어센터</t>
  </si>
  <si>
    <t>양천어르신요양센터</t>
  </si>
  <si>
    <t>사례집 제작 및 배포</t>
  </si>
  <si>
    <t>본당사회복지활동지원</t>
  </si>
  <si>
    <t>회계감사및 세무조정료</t>
  </si>
  <si>
    <t>특별수당(설,추석)</t>
  </si>
  <si>
    <t>직원 회의비 등</t>
  </si>
  <si>
    <t>마고네지역아동센터</t>
  </si>
  <si>
    <t xml:space="preserve">선종봉사부 반환금 </t>
  </si>
  <si>
    <t>강일성모노인요양</t>
  </si>
  <si>
    <t>화곡성모공동생활</t>
  </si>
  <si>
    <t>장학기금
이자수입</t>
  </si>
  <si>
    <t>시설 재산관리비</t>
  </si>
  <si>
    <t>사무용  비품구입</t>
  </si>
  <si>
    <t>운영위원 회의비</t>
  </si>
  <si>
    <t>지정기탁시설지원 등</t>
  </si>
  <si>
    <t>꿈손단기보호시설</t>
  </si>
  <si>
    <t>통합운영위원회회의비</t>
  </si>
  <si>
    <t>시설방문 및 축하금</t>
  </si>
  <si>
    <t>전문인력양성및 캠페인</t>
  </si>
  <si>
    <t>서로함께공동생활</t>
  </si>
  <si>
    <t>시설 수탁관리비</t>
  </si>
  <si>
    <t>법인/시설
연대사업비</t>
  </si>
  <si>
    <t>교정사목위원회 지원</t>
  </si>
  <si>
    <t>시설 고충처리위원회</t>
  </si>
  <si>
    <t>온라인 웹진 제작</t>
  </si>
  <si>
    <t>금천데이케어센터</t>
  </si>
  <si>
    <t>동작데이케어센터</t>
  </si>
  <si>
    <t>상계데이케어센터</t>
  </si>
  <si>
    <t>한빛데이케어센터</t>
  </si>
  <si>
    <t>성동데이케어센터</t>
  </si>
  <si>
    <t>사랑의손길 지원사업</t>
  </si>
  <si>
    <t>본당시설 공동사업지원</t>
  </si>
  <si>
    <t>사랑의손길(서울주보)</t>
  </si>
  <si>
    <t>제2조 1. 세입ㆍ세출의 명세는 세입ㆍ세출 예산서와 같다.</t>
  </si>
  <si>
    <t>세출경비가 부족할 경우에는 사회복지법인 및 사회복지시설 재무회계규칙 제 16조에 의거하여 예산을 전용할 수 있다.</t>
  </si>
  <si>
    <t>지역사회모금사업</t>
  </si>
  <si>
    <t>조성비</t>
  </si>
  <si>
    <t>목</t>
  </si>
  <si>
    <t>×</t>
  </si>
  <si>
    <t>시설비</t>
  </si>
  <si>
    <t>항</t>
  </si>
  <si>
    <t>회</t>
  </si>
  <si>
    <t>차량비</t>
  </si>
  <si>
    <t>후원금</t>
  </si>
  <si>
    <t>회의비</t>
  </si>
  <si>
    <t>전출금</t>
  </si>
  <si>
    <t>월</t>
  </si>
  <si>
    <t>사무비</t>
  </si>
  <si>
    <t>식</t>
  </si>
  <si>
    <t>지정</t>
  </si>
  <si>
    <t>전입금</t>
  </si>
  <si>
    <t>예비비</t>
  </si>
  <si>
    <t>업무</t>
  </si>
  <si>
    <t>=</t>
  </si>
  <si>
    <t>근속</t>
  </si>
  <si>
    <t xml:space="preserve"> =</t>
  </si>
  <si>
    <t>직책</t>
  </si>
  <si>
    <t>금액</t>
  </si>
  <si>
    <t>추진비</t>
  </si>
  <si>
    <t>사업비</t>
  </si>
  <si>
    <t>잡지출</t>
  </si>
  <si>
    <t>명</t>
  </si>
  <si>
    <t>운영비</t>
  </si>
  <si>
    <t>원</t>
  </si>
  <si>
    <t>대</t>
  </si>
  <si>
    <t>/</t>
  </si>
  <si>
    <t>곳</t>
  </si>
  <si>
    <t>수입</t>
  </si>
  <si>
    <t>비지정</t>
  </si>
  <si>
    <t>대부료</t>
  </si>
  <si>
    <t>기본</t>
  </si>
  <si>
    <t>수당</t>
  </si>
  <si>
    <t>분기</t>
  </si>
  <si>
    <t>이월금</t>
  </si>
  <si>
    <t>급여</t>
  </si>
  <si>
    <t>직무</t>
  </si>
  <si>
    <t xml:space="preserve"> </t>
  </si>
  <si>
    <t>계</t>
  </si>
  <si>
    <t>잡수입</t>
  </si>
  <si>
    <t>급식비</t>
  </si>
  <si>
    <t>관</t>
  </si>
  <si>
    <t>CMS</t>
  </si>
  <si>
    <t>재산</t>
  </si>
  <si>
    <t>합계</t>
  </si>
  <si>
    <t>소계</t>
  </si>
  <si>
    <t>법정</t>
  </si>
  <si>
    <t>총계</t>
  </si>
  <si>
    <t>비율</t>
  </si>
  <si>
    <t>여비</t>
  </si>
  <si>
    <t>인건비</t>
  </si>
  <si>
    <t xml:space="preserve">  </t>
  </si>
  <si>
    <t>본봉</t>
  </si>
  <si>
    <t>반환금</t>
  </si>
  <si>
    <t>천원</t>
  </si>
  <si>
    <t>양초사업 대여금 상환 관련 수입</t>
  </si>
  <si>
    <t>온라인모금(해피빈, 신한아름인)</t>
  </si>
  <si>
    <t xml:space="preserve">3. 세출의 내용은 다음과 같다. </t>
  </si>
  <si>
    <t>동자동 임대수입(1층,지하층)</t>
  </si>
  <si>
    <t>성무활동비 및 미사예물(사제)</t>
  </si>
  <si>
    <t xml:space="preserve">2012년 11월 집행액(C)
</t>
  </si>
  <si>
    <t>이주사목위원회 지원(4개시설)</t>
  </si>
  <si>
    <t>수탁신청 및 이행보증보험료 등</t>
  </si>
  <si>
    <t>기타예비비</t>
  </si>
  <si>
    <t>지정후원금</t>
  </si>
  <si>
    <t>왕십리성당데이</t>
  </si>
  <si>
    <t>5) 후원금</t>
  </si>
  <si>
    <t>성동노인복지관</t>
  </si>
  <si>
    <t>정근수당</t>
  </si>
  <si>
    <t>특별지원사업</t>
  </si>
  <si>
    <t>대외협력사업</t>
  </si>
  <si>
    <t>지정후원이월금</t>
  </si>
  <si>
    <t>기타수수료</t>
  </si>
  <si>
    <t>마음자리</t>
  </si>
  <si>
    <t>전례준비비</t>
  </si>
  <si>
    <t>국민연금</t>
  </si>
  <si>
    <t>사업관리</t>
  </si>
  <si>
    <t>요안나장학회</t>
  </si>
  <si>
    <t>한마음지원금</t>
  </si>
  <si>
    <t>성모영보장학회</t>
  </si>
  <si>
    <t>해뜨락어린이집</t>
  </si>
  <si>
    <t>자부담이월금</t>
  </si>
  <si>
    <t>5) 잡지출</t>
  </si>
  <si>
    <t>예금이자수입</t>
  </si>
  <si>
    <t>다향공동생활</t>
  </si>
  <si>
    <t>산재보험</t>
  </si>
  <si>
    <t>지정후원예비비</t>
  </si>
  <si>
    <t>공공요금</t>
  </si>
  <si>
    <t>소모품비</t>
  </si>
  <si>
    <t>장학금지급</t>
  </si>
  <si>
    <t>6) 상환금</t>
  </si>
  <si>
    <t>전문가 자문비</t>
  </si>
  <si>
    <t>모금관리</t>
  </si>
  <si>
    <t>천호동성당데이</t>
  </si>
  <si>
    <t>2) 사업수입</t>
  </si>
  <si>
    <t>말가리다장학회</t>
  </si>
  <si>
    <t>동작종합복지관</t>
  </si>
  <si>
    <t>한빛어린이집</t>
  </si>
  <si>
    <t>유락종합복지관</t>
  </si>
  <si>
    <t>금전출납</t>
  </si>
  <si>
    <t>보조금수입</t>
  </si>
  <si>
    <t>교육사업수입</t>
  </si>
  <si>
    <t>후원자관리</t>
  </si>
  <si>
    <t>지로후원</t>
  </si>
  <si>
    <t>송화어린이집</t>
  </si>
  <si>
    <t>홍보출판</t>
  </si>
  <si>
    <t>시설장비유지비</t>
  </si>
  <si>
    <t>구파발성당데이</t>
  </si>
  <si>
    <t>교육자문위원회</t>
  </si>
  <si>
    <t>차량유류대</t>
  </si>
  <si>
    <t>상계동성당데이</t>
  </si>
  <si>
    <t>기타재산수입</t>
  </si>
  <si>
    <t>고용보험</t>
  </si>
  <si>
    <t>퇴직연금</t>
  </si>
  <si>
    <t>시설지정기탁</t>
  </si>
  <si>
    <t>기타보조금수입</t>
  </si>
  <si>
    <t>금천노인복지관</t>
  </si>
  <si>
    <t>고덕양로원</t>
  </si>
  <si>
    <t>소라네공동생활</t>
  </si>
  <si>
    <t>건강보험</t>
  </si>
  <si>
    <t>자기계발비</t>
  </si>
  <si>
    <t>요양보험</t>
  </si>
  <si>
    <t>우편물발송비</t>
  </si>
  <si>
    <t>임대수입</t>
  </si>
  <si>
    <t>한빛종합복지관</t>
  </si>
  <si>
    <t>3) 사업비</t>
  </si>
  <si>
    <t>햇빛자리</t>
  </si>
  <si>
    <t>지역사회모금</t>
  </si>
  <si>
    <t>4) 전입금</t>
  </si>
  <si>
    <t>고척동성당데이</t>
  </si>
  <si>
    <t>1) 사무비</t>
  </si>
  <si>
    <t>재가특별지원</t>
  </si>
  <si>
    <t>정기업무점검</t>
  </si>
  <si>
    <t>후원자통합관리</t>
  </si>
  <si>
    <t>공모지원사업</t>
  </si>
  <si>
    <t>행운동성당데이</t>
  </si>
  <si>
    <t>한가족장학회</t>
  </si>
  <si>
    <t>3) 보조금</t>
  </si>
  <si>
    <t>방송모금</t>
  </si>
  <si>
    <t>2.  세 출</t>
  </si>
  <si>
    <t>누림학교</t>
  </si>
  <si>
    <t>계좌입금 후원</t>
  </si>
  <si>
    <t>등록단체지원금</t>
  </si>
  <si>
    <t>신망애공동생활</t>
  </si>
  <si>
    <t>6) 이월금</t>
  </si>
  <si>
    <t>연구사업</t>
  </si>
  <si>
    <t>중곡종합복지관</t>
  </si>
  <si>
    <t>본당사회</t>
  </si>
  <si>
    <t>벗들의집</t>
  </si>
  <si>
    <t>혜화동데이케어</t>
  </si>
  <si>
    <t>본당방문모금</t>
  </si>
  <si>
    <t>인식개선사업</t>
  </si>
  <si>
    <t>신당동성당데이</t>
  </si>
  <si>
    <t>갈현동성당데이</t>
  </si>
  <si>
    <t>한국카리타스</t>
  </si>
  <si>
    <t>사회복지시설</t>
  </si>
  <si>
    <t>루치아공동생활</t>
  </si>
  <si>
    <t>장학사업</t>
  </si>
  <si>
    <t>시설장연수</t>
  </si>
  <si>
    <t>출장 여비</t>
  </si>
  <si>
    <t>성과공유회</t>
  </si>
  <si>
    <t>금호동성당데이</t>
  </si>
  <si>
    <t>우리집공동체</t>
  </si>
  <si>
    <t>물품후원탁송료</t>
  </si>
  <si>
    <t>우리들의공부방</t>
  </si>
  <si>
    <t>일반모금</t>
  </si>
  <si>
    <t>운영사업</t>
  </si>
  <si>
    <t>두레네공동생활</t>
  </si>
  <si>
    <t>재산매각수입</t>
  </si>
  <si>
    <t>차년도이월금</t>
  </si>
  <si>
    <t>업무점검</t>
  </si>
  <si>
    <t>사랑손주간보호</t>
  </si>
  <si>
    <t>예비비
및기타</t>
  </si>
  <si>
    <t>기말수당</t>
  </si>
  <si>
    <t>조정수당</t>
  </si>
  <si>
    <t>지원사업</t>
  </si>
  <si>
    <t>대외협력
사업</t>
  </si>
  <si>
    <t>홈페이지 관리</t>
  </si>
  <si>
    <t>사업수입</t>
  </si>
  <si>
    <t>종합부동산세</t>
  </si>
  <si>
    <t>CMS관리비</t>
  </si>
  <si>
    <t>직원변동</t>
  </si>
  <si>
    <t>상계장애인주간</t>
  </si>
  <si>
    <t>신당종합복지관</t>
  </si>
  <si>
    <t>상계종합복지관</t>
  </si>
  <si>
    <t>기타운영비</t>
  </si>
  <si>
    <t>연희네공동생활</t>
  </si>
  <si>
    <t>활동가교육</t>
  </si>
  <si>
    <t>공모사업지원금</t>
  </si>
  <si>
    <t>법인세환급금</t>
  </si>
  <si>
    <t>비둘기주간보호</t>
  </si>
  <si>
    <t>서리풀주간보호</t>
  </si>
  <si>
    <t>기타후생경비</t>
  </si>
  <si>
    <t>자동차보험모금</t>
  </si>
  <si>
    <t>성지보호작업장</t>
  </si>
  <si>
    <t>및 기타</t>
  </si>
  <si>
    <t>고액후원자관리</t>
  </si>
  <si>
    <t>성가정입양원</t>
  </si>
  <si>
    <t>홍보사업</t>
  </si>
  <si>
    <t>비율(%)</t>
  </si>
  <si>
    <t>다사랑공동생활</t>
  </si>
  <si>
    <t xml:space="preserve"> 자기개발과정</t>
  </si>
  <si>
    <t>방배어린이집</t>
  </si>
  <si>
    <t>1.  세 입</t>
  </si>
  <si>
    <t>신망애의집</t>
  </si>
  <si>
    <t>직책보조비</t>
  </si>
  <si>
    <t xml:space="preserve">제1조 </t>
  </si>
  <si>
    <t>시설전출금</t>
  </si>
  <si>
    <t>출판사업</t>
  </si>
  <si>
    <t>재산수입</t>
  </si>
  <si>
    <t>기타지원금</t>
  </si>
  <si>
    <t>복지사업</t>
  </si>
  <si>
    <t>기타추진비</t>
  </si>
  <si>
    <t>디딤자리</t>
  </si>
  <si>
    <t>7) 잡수입</t>
  </si>
  <si>
    <t>본당지원금</t>
  </si>
  <si>
    <t>사회조사</t>
  </si>
  <si>
    <t>차량유지비</t>
  </si>
  <si>
    <t>기타 시설비</t>
  </si>
  <si>
    <t>諸유지보수비</t>
  </si>
  <si>
    <t>인터넷사용료</t>
  </si>
  <si>
    <t>기관운영비</t>
  </si>
  <si>
    <t>본당모금사업</t>
  </si>
  <si>
    <t>사랑의집</t>
  </si>
  <si>
    <t>교육사업</t>
  </si>
  <si>
    <t>세실리아장학금</t>
  </si>
  <si>
    <t>소  계</t>
  </si>
  <si>
    <t>보호사업</t>
  </si>
  <si>
    <t>지로모금사업비</t>
  </si>
  <si>
    <t>혼배기부사업비</t>
  </si>
  <si>
    <t>자산취득비</t>
  </si>
  <si>
    <t>이사회 회의비</t>
  </si>
  <si>
    <t>장학금 지급</t>
  </si>
  <si>
    <t>지역사회</t>
  </si>
  <si>
    <t>선교200주년</t>
  </si>
  <si>
    <t>사업평가회</t>
  </si>
  <si>
    <t>총  계</t>
  </si>
  <si>
    <t>제세공과금</t>
  </si>
  <si>
    <t>교구지원금</t>
  </si>
  <si>
    <t>기타잡수입</t>
  </si>
  <si>
    <t>모금사업</t>
  </si>
  <si>
    <t>1) 재산수입</t>
  </si>
  <si>
    <t>증감(B-A)</t>
  </si>
  <si>
    <t>교구보조금</t>
  </si>
  <si>
    <t>명일동성당지원금(성가정노인복지관지원)</t>
  </si>
  <si>
    <t>2. 세입의 주요 재원은 다음과 같다.</t>
  </si>
  <si>
    <t>사무실 및 교육실 임차료</t>
  </si>
  <si>
    <t>선교200주년장학금 지정후원</t>
  </si>
  <si>
    <t>장학금지급(1~12월)</t>
  </si>
  <si>
    <t>성모영보장학사업 지정후원</t>
  </si>
  <si>
    <t>자동차세 및 자동차보험료</t>
  </si>
  <si>
    <t>직원교육 및 연수(내외부)</t>
  </si>
  <si>
    <t>말가리다장학기금 이자수입</t>
  </si>
  <si>
    <t>다과구입 등 기타회의비</t>
  </si>
  <si>
    <t>요안나장학기금 이자수입</t>
  </si>
  <si>
    <t xml:space="preserve">본당사회복지자문위원회 </t>
  </si>
  <si>
    <t>사업계획서, 보고서 발간</t>
  </si>
  <si>
    <t>전자지급결제대행 수수료</t>
  </si>
  <si>
    <t>등기,평가, 중개수수료 등</t>
  </si>
  <si>
    <t xml:space="preserve"> - 점검단교육비및 평가회비</t>
  </si>
  <si>
    <t>동자동 임대수입(4층)</t>
  </si>
  <si>
    <t>본당 자원봉사 
관리및 운영</t>
  </si>
  <si>
    <t>특별수당(부활,휴가,성탄)</t>
  </si>
  <si>
    <t>자선주일(대림)2차헌금</t>
  </si>
  <si>
    <t>온라인 홍보컨텐츠 구입</t>
  </si>
  <si>
    <t>성지주일(사순)2차헌금</t>
  </si>
  <si>
    <t>통신사 기지국 임대수입</t>
  </si>
  <si>
    <t>사회복지사목 시범본당 운영</t>
  </si>
  <si>
    <t>혼배기부 홍보지 제작비</t>
  </si>
  <si>
    <t>수탁종료시설 지원금 등</t>
  </si>
  <si>
    <t>사회복지회 사제 급여 지원금</t>
  </si>
  <si>
    <t>성모영보장학기금  이자수입</t>
  </si>
  <si>
    <t>홍보대사 활동 및 관리</t>
  </si>
  <si>
    <t>통합네트워크시스템 유지비</t>
  </si>
  <si>
    <t>모금 캠페인(장학금 등)</t>
  </si>
  <si>
    <t>요안나장학사업 지정후원</t>
  </si>
  <si>
    <t>본당사회복지 공모지원사업</t>
  </si>
  <si>
    <t>기타재산수입 및 배당수입</t>
  </si>
  <si>
    <t>서울대교구성당지정후원금</t>
  </si>
  <si>
    <t>재산세 및 재산관련 보험</t>
  </si>
  <si>
    <t>희망의밥(바보 개인지정기탁)</t>
  </si>
  <si>
    <t>사순대림 저금통(본당)</t>
  </si>
  <si>
    <t>기타관리비(신청서 제작 등)</t>
  </si>
  <si>
    <t xml:space="preserve"> 특별과정(가톨릭에코연대)</t>
  </si>
  <si>
    <t>한국종사협, 서복연 등</t>
  </si>
  <si>
    <t>예다움보듬이나눔이어린이집</t>
  </si>
  <si>
    <t>취약계층 (긴급)지원사업</t>
  </si>
  <si>
    <t>기쁜우리월드소송관련비 지원</t>
  </si>
  <si>
    <t>법인 안전보건비용</t>
    <phoneticPr fontId="6" type="noConversion"/>
  </si>
  <si>
    <t>종사자
교육비</t>
    <phoneticPr fontId="6" type="noConversion"/>
  </si>
  <si>
    <t>자기개발과정</t>
    <phoneticPr fontId="6" type="noConversion"/>
  </si>
  <si>
    <t>특별과정</t>
    <phoneticPr fontId="6" type="noConversion"/>
  </si>
  <si>
    <t>시설 안전보건예산</t>
    <phoneticPr fontId="6" type="noConversion"/>
  </si>
  <si>
    <t>화</t>
  </si>
  <si>
    <t>원</t>
    <phoneticPr fontId="6" type="noConversion"/>
  </si>
  <si>
    <t>사업비</t>
    <phoneticPr fontId="6" type="noConversion"/>
  </si>
  <si>
    <t>시설전출금+시설전출후원금</t>
    <phoneticPr fontId="6" type="noConversion"/>
  </si>
  <si>
    <t>2023년
예산(A)</t>
    <phoneticPr fontId="6" type="noConversion"/>
  </si>
  <si>
    <t>2023년1차
추경예산(B)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</si>
  <si>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</si>
  <si>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</si>
  <si>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시설전출금</t>
    <phoneticPr fontId="6" type="noConversion"/>
  </si>
  <si>
    <t>노키즈존동화책 제작 등</t>
    <phoneticPr fontId="6" type="noConversion"/>
  </si>
  <si>
    <t>작가 집필료 및 평가회비</t>
    <phoneticPr fontId="6" type="noConversion"/>
  </si>
  <si>
    <t>성모어린이집</t>
    <phoneticPr fontId="6" type="noConversion"/>
  </si>
  <si>
    <t>야근 식대</t>
    <phoneticPr fontId="6" type="noConversion"/>
  </si>
  <si>
    <t>리플렛 제작 등</t>
    <phoneticPr fontId="6" type="noConversion"/>
  </si>
  <si>
    <t>사순절/대림절 모금 우리은행 간담회</t>
    <phoneticPr fontId="6" type="noConversion"/>
  </si>
  <si>
    <t>회</t>
    <phoneticPr fontId="6" type="noConversion"/>
  </si>
  <si>
    <t>원</t>
    <phoneticPr fontId="6" type="noConversion"/>
  </si>
  <si>
    <t>사순절 저금통 모금</t>
    <phoneticPr fontId="6" type="noConversion"/>
  </si>
  <si>
    <t>대림절 저금통 모금</t>
    <phoneticPr fontId="6" type="noConversion"/>
  </si>
  <si>
    <t>사순절/대림절 저금통 수거 출장비</t>
    <phoneticPr fontId="6" type="noConversion"/>
  </si>
  <si>
    <t>서울주보 등 홍보</t>
    <phoneticPr fontId="6" type="noConversion"/>
  </si>
  <si>
    <t>홍보굿즈 등 제작</t>
    <phoneticPr fontId="6" type="noConversion"/>
  </si>
  <si>
    <t>직원 경조사비</t>
    <phoneticPr fontId="6" type="noConversion"/>
  </si>
  <si>
    <t>장기근속포상금</t>
    <phoneticPr fontId="6" type="noConversion"/>
  </si>
  <si>
    <t>기타후생비(상해보험, 치료비 등)</t>
    <phoneticPr fontId="6" type="noConversion"/>
  </si>
  <si>
    <t>회</t>
    <phoneticPr fontId="6" type="noConversion"/>
  </si>
  <si>
    <t>신년인사회 등 행사비</t>
    <phoneticPr fontId="6" type="noConversion"/>
  </si>
  <si>
    <t>곳</t>
    <phoneticPr fontId="6" type="noConversion"/>
  </si>
  <si>
    <t>&lt;시설폐지&gt;</t>
    <phoneticPr fontId="6" type="noConversion"/>
  </si>
  <si>
    <t>시설전출금+장애인고용장려금</t>
    <phoneticPr fontId="6" type="noConversion"/>
  </si>
  <si>
    <t>월</t>
    <phoneticPr fontId="6" type="noConversion"/>
  </si>
  <si>
    <t>2022년한마음지원금 잔액반환 등</t>
    <phoneticPr fontId="6" type="noConversion"/>
  </si>
  <si>
    <t xml:space="preserve">시설 임대보증금(보조금) 반환 </t>
    <phoneticPr fontId="6" type="noConversion"/>
  </si>
  <si>
    <t>.</t>
    <phoneticPr fontId="6" type="noConversion"/>
  </si>
  <si>
    <t>김베드로장학기금 이자</t>
    <phoneticPr fontId="6" type="noConversion"/>
  </si>
  <si>
    <t>번동건물 임대료</t>
    <phoneticPr fontId="6" type="noConversion"/>
  </si>
  <si>
    <t>덕계동 임대수입(임대종료)</t>
    <phoneticPr fontId="6" type="noConversion"/>
  </si>
  <si>
    <t>대상별 지정후원등</t>
    <phoneticPr fontId="6" type="noConversion"/>
  </si>
  <si>
    <t>2022년 법인세 등 환급</t>
    <phoneticPr fontId="6" type="noConversion"/>
  </si>
  <si>
    <t>번동성당 사회복지사업비 지원</t>
    <phoneticPr fontId="6" type="noConversion"/>
  </si>
  <si>
    <t>2023년  제1차 추가경정예산 총칙</t>
    <phoneticPr fontId="6" type="noConversion"/>
  </si>
  <si>
    <t>사회복지법인 서울가톨릭사회복지회의  2023년  제1차 추가경정예산 세입 · 세출예산액은 각각 9,472,995천원이며</t>
    <phoneticPr fontId="6" type="noConversion"/>
  </si>
  <si>
    <t>2023년 예산 대비 12.9%  증가하였다.</t>
    <phoneticPr fontId="6" type="noConversion"/>
  </si>
  <si>
    <t xml:space="preserve">제3조 </t>
    <phoneticPr fontId="6" type="noConversion"/>
  </si>
  <si>
    <t xml:space="preserve">직영수탁시설장 근조기운영 </t>
    <phoneticPr fontId="6" type="noConversion"/>
  </si>
  <si>
    <t>사업비</t>
    <phoneticPr fontId="6" type="noConversion"/>
  </si>
  <si>
    <t>전출금</t>
    <phoneticPr fontId="6" type="noConversion"/>
  </si>
  <si>
    <t>서울가톨릭사회복지회 2023년 제1차 추가경정 세입·세출 예산</t>
    <phoneticPr fontId="6" type="noConversion"/>
  </si>
  <si>
    <t>직책보조비</t>
    <phoneticPr fontId="6" type="noConversion"/>
  </si>
  <si>
    <t>자기계발비(기타운영비로 이동)</t>
    <phoneticPr fontId="6" type="noConversion"/>
  </si>
  <si>
    <t>야근 식대(운영비/기타운영비로 이동)</t>
    <phoneticPr fontId="6" type="noConversion"/>
  </si>
  <si>
    <t>특별수당(부활,휴가,성탄)(기타운영비로 이동)</t>
    <phoneticPr fontId="6" type="noConversion"/>
  </si>
  <si>
    <t>직원 경조사비(기관운영비로 이동)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</si>
</sst>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_ "/>
    <numFmt numFmtId="178" formatCode="#,##0.0"/>
    <numFmt numFmtId="179" formatCode="0.000%"/>
    <numFmt numFmtId="180" formatCode="0.0%"/>
    <numFmt numFmtId="181" formatCode="0_);[Red]\(0\)"/>
    <numFmt numFmtId="182" formatCode="_-* #,##0.0_-;\-* #,##0.0_-;_-* &quot;-&quot;?_-;_-@_-"/>
  </numFmts>
  <fonts count="23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b/>
      <sz val="1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59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41" fontId="8" fillId="0" borderId="0" xfId="2" applyFont="1">
      <alignment vertical="center"/>
    </xf>
    <xf numFmtId="0" fontId="14" fillId="0" borderId="0" xfId="0" applyFont="1" applyAlignment="1">
      <alignment horizontal="center" vertical="center"/>
    </xf>
    <xf numFmtId="3" fontId="14" fillId="0" borderId="0" xfId="2" applyNumberFormat="1" applyFont="1" applyAlignment="1">
      <alignment horizontal="right" vertical="center"/>
    </xf>
    <xf numFmtId="178" fontId="14" fillId="0" borderId="0" xfId="0" applyNumberFormat="1" applyFont="1" applyAlignment="1">
      <alignment horizontal="right" vertical="center"/>
    </xf>
    <xf numFmtId="3" fontId="15" fillId="0" borderId="5" xfId="2" applyNumberFormat="1" applyFont="1" applyBorder="1" applyAlignment="1">
      <alignment horizontal="center" vertical="center"/>
    </xf>
    <xf numFmtId="178" fontId="15" fillId="0" borderId="5" xfId="2" applyNumberFormat="1" applyFont="1" applyBorder="1" applyAlignment="1">
      <alignment horizontal="center" vertical="center"/>
    </xf>
    <xf numFmtId="41" fontId="15" fillId="0" borderId="29" xfId="2" applyFont="1" applyBorder="1" applyAlignment="1">
      <alignment horizontal="center" vertical="center"/>
    </xf>
    <xf numFmtId="41" fontId="15" fillId="0" borderId="30" xfId="4" applyFont="1" applyBorder="1" applyAlignment="1">
      <alignment horizontal="center" vertical="center"/>
    </xf>
    <xf numFmtId="3" fontId="15" fillId="0" borderId="29" xfId="2" applyNumberFormat="1" applyFont="1" applyBorder="1" applyAlignment="1">
      <alignment horizontal="right" vertical="center"/>
    </xf>
    <xf numFmtId="178" fontId="15" fillId="0" borderId="29" xfId="2" applyNumberFormat="1" applyFont="1" applyBorder="1" applyAlignment="1">
      <alignment horizontal="right" vertical="center"/>
    </xf>
    <xf numFmtId="0" fontId="11" fillId="0" borderId="31" xfId="0" applyFont="1" applyBorder="1">
      <alignment vertical="center"/>
    </xf>
    <xf numFmtId="0" fontId="11" fillId="0" borderId="31" xfId="0" applyFont="1" applyBorder="1" applyAlignment="1">
      <alignment horizontal="center" vertical="center"/>
    </xf>
    <xf numFmtId="41" fontId="16" fillId="0" borderId="31" xfId="0" applyNumberFormat="1" applyFont="1" applyBorder="1">
      <alignment vertical="center"/>
    </xf>
    <xf numFmtId="0" fontId="16" fillId="0" borderId="32" xfId="0" applyFont="1" applyBorder="1">
      <alignment vertical="center"/>
    </xf>
    <xf numFmtId="0" fontId="17" fillId="0" borderId="2" xfId="0" applyFont="1" applyBorder="1" applyAlignment="1">
      <alignment horizontal="center" vertical="center"/>
    </xf>
    <xf numFmtId="41" fontId="17" fillId="0" borderId="4" xfId="2" applyFont="1" applyBorder="1" applyAlignment="1">
      <alignment horizontal="center" vertical="center"/>
    </xf>
    <xf numFmtId="41" fontId="17" fillId="0" borderId="33" xfId="2" applyFont="1" applyBorder="1" applyAlignment="1">
      <alignment horizontal="center" vertical="center"/>
    </xf>
    <xf numFmtId="41" fontId="17" fillId="0" borderId="33" xfId="4" applyFont="1" applyBorder="1" applyAlignment="1">
      <alignment horizontal="center" vertical="center"/>
    </xf>
    <xf numFmtId="3" fontId="17" fillId="0" borderId="17" xfId="2" applyNumberFormat="1" applyFont="1" applyBorder="1" applyAlignment="1">
      <alignment horizontal="right" vertical="center"/>
    </xf>
    <xf numFmtId="178" fontId="17" fillId="0" borderId="17" xfId="2" applyNumberFormat="1" applyFont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41" fontId="16" fillId="0" borderId="0" xfId="0" applyNumberFormat="1" applyFont="1">
      <alignment vertical="center"/>
    </xf>
    <xf numFmtId="0" fontId="16" fillId="0" borderId="25" xfId="0" applyFont="1" applyBorder="1">
      <alignment vertical="center"/>
    </xf>
    <xf numFmtId="0" fontId="7" fillId="0" borderId="0" xfId="0" applyFont="1">
      <alignment vertical="center"/>
    </xf>
    <xf numFmtId="41" fontId="7" fillId="0" borderId="0" xfId="2" applyFont="1">
      <alignment vertical="center"/>
    </xf>
    <xf numFmtId="0" fontId="17" fillId="0" borderId="9" xfId="0" applyFont="1" applyBorder="1" applyAlignment="1">
      <alignment horizontal="center" vertical="center" shrinkToFit="1"/>
    </xf>
    <xf numFmtId="41" fontId="9" fillId="0" borderId="34" xfId="4" applyFont="1" applyBorder="1" applyAlignment="1">
      <alignment horizontal="center" vertical="center"/>
    </xf>
    <xf numFmtId="3" fontId="8" fillId="0" borderId="8" xfId="2" applyNumberFormat="1" applyFont="1" applyBorder="1" applyAlignment="1">
      <alignment horizontal="right" vertical="center"/>
    </xf>
    <xf numFmtId="0" fontId="11" fillId="0" borderId="26" xfId="0" applyFont="1" applyBorder="1">
      <alignment vertical="center"/>
    </xf>
    <xf numFmtId="0" fontId="11" fillId="0" borderId="26" xfId="0" applyFont="1" applyBorder="1" applyAlignment="1">
      <alignment horizontal="center" vertical="center"/>
    </xf>
    <xf numFmtId="41" fontId="7" fillId="0" borderId="26" xfId="0" applyNumberFormat="1" applyFont="1" applyBorder="1">
      <alignment vertical="center"/>
    </xf>
    <xf numFmtId="0" fontId="7" fillId="0" borderId="27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shrinkToFit="1"/>
    </xf>
    <xf numFmtId="41" fontId="8" fillId="0" borderId="34" xfId="4" applyFont="1" applyBorder="1" applyAlignment="1">
      <alignment horizontal="center" vertical="center"/>
    </xf>
    <xf numFmtId="0" fontId="7" fillId="0" borderId="35" xfId="0" applyFont="1" applyBorder="1" applyAlignment="1">
      <alignment horizontal="left" vertical="center"/>
    </xf>
    <xf numFmtId="41" fontId="7" fillId="0" borderId="26" xfId="2" applyFont="1" applyBorder="1">
      <alignment vertical="center"/>
    </xf>
    <xf numFmtId="41" fontId="8" fillId="0" borderId="33" xfId="4" applyFont="1" applyBorder="1" applyAlignment="1">
      <alignment horizontal="center" vertical="center"/>
    </xf>
    <xf numFmtId="0" fontId="7" fillId="0" borderId="36" xfId="0" applyFont="1" applyBorder="1" applyAlignment="1">
      <alignment horizontal="left" vertical="center" shrinkToFit="1"/>
    </xf>
    <xf numFmtId="41" fontId="7" fillId="0" borderId="0" xfId="4" applyFont="1">
      <alignment vertical="center"/>
    </xf>
    <xf numFmtId="0" fontId="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0" borderId="25" xfId="0" applyFont="1" applyBorder="1">
      <alignment vertical="center"/>
    </xf>
    <xf numFmtId="41" fontId="8" fillId="0" borderId="37" xfId="4" applyFont="1" applyBorder="1" applyAlignment="1">
      <alignment horizontal="center" vertical="center"/>
    </xf>
    <xf numFmtId="0" fontId="7" fillId="0" borderId="36" xfId="0" applyFont="1" applyBorder="1" applyAlignment="1">
      <alignment horizontal="left" vertical="center"/>
    </xf>
    <xf numFmtId="41" fontId="7" fillId="0" borderId="28" xfId="2" applyFont="1" applyBorder="1">
      <alignment vertical="center"/>
    </xf>
    <xf numFmtId="0" fontId="18" fillId="0" borderId="26" xfId="0" applyFont="1" applyBorder="1" applyAlignment="1">
      <alignment horizontal="center" vertical="center"/>
    </xf>
    <xf numFmtId="41" fontId="7" fillId="0" borderId="26" xfId="4" applyFont="1" applyBorder="1">
      <alignment vertical="center"/>
    </xf>
    <xf numFmtId="0" fontId="7" fillId="0" borderId="0" xfId="0" quotePrefix="1" applyFont="1" applyAlignment="1">
      <alignment horizontal="center" vertical="center"/>
    </xf>
    <xf numFmtId="0" fontId="17" fillId="0" borderId="14" xfId="0" applyFont="1" applyBorder="1" applyAlignment="1">
      <alignment horizontal="center" vertical="center" shrinkToFit="1"/>
    </xf>
    <xf numFmtId="41" fontId="17" fillId="0" borderId="8" xfId="2" applyFont="1" applyBorder="1" applyAlignment="1">
      <alignment horizontal="center" vertical="center"/>
    </xf>
    <xf numFmtId="41" fontId="17" fillId="0" borderId="38" xfId="2" applyFont="1" applyBorder="1" applyAlignment="1">
      <alignment horizontal="center" vertical="center"/>
    </xf>
    <xf numFmtId="41" fontId="17" fillId="0" borderId="8" xfId="4" applyFont="1" applyBorder="1" applyAlignment="1">
      <alignment horizontal="center" vertical="center"/>
    </xf>
    <xf numFmtId="3" fontId="17" fillId="0" borderId="8" xfId="2" applyNumberFormat="1" applyFont="1" applyBorder="1" applyAlignment="1">
      <alignment horizontal="right" vertical="center"/>
    </xf>
    <xf numFmtId="178" fontId="17" fillId="0" borderId="8" xfId="2" applyNumberFormat="1" applyFont="1" applyBorder="1" applyAlignment="1">
      <alignment horizontal="right" vertical="center"/>
    </xf>
    <xf numFmtId="0" fontId="7" fillId="0" borderId="39" xfId="0" applyFont="1" applyBorder="1">
      <alignment vertical="center"/>
    </xf>
    <xf numFmtId="41" fontId="16" fillId="0" borderId="39" xfId="0" applyNumberFormat="1" applyFont="1" applyBorder="1">
      <alignment vertical="center"/>
    </xf>
    <xf numFmtId="0" fontId="16" fillId="0" borderId="22" xfId="0" applyFont="1" applyBorder="1">
      <alignment vertical="center"/>
    </xf>
    <xf numFmtId="41" fontId="9" fillId="0" borderId="3" xfId="4" applyFont="1" applyBorder="1" applyAlignment="1">
      <alignment horizontal="center" vertical="center"/>
    </xf>
    <xf numFmtId="41" fontId="7" fillId="0" borderId="0" xfId="0" applyNumberFormat="1" applyFont="1">
      <alignment vertical="center"/>
    </xf>
    <xf numFmtId="0" fontId="7" fillId="0" borderId="0" xfId="0" applyFont="1" applyAlignment="1">
      <alignment horizontal="center" vertical="center" shrinkToFit="1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center" shrinkToFit="1"/>
    </xf>
    <xf numFmtId="41" fontId="7" fillId="0" borderId="28" xfId="4" applyFont="1" applyBorder="1">
      <alignment vertical="center"/>
    </xf>
    <xf numFmtId="0" fontId="18" fillId="0" borderId="28" xfId="0" applyFont="1" applyBorder="1" applyAlignment="1">
      <alignment horizontal="center" vertical="center"/>
    </xf>
    <xf numFmtId="0" fontId="7" fillId="0" borderId="28" xfId="0" quotePrefix="1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176" fontId="17" fillId="0" borderId="38" xfId="2" applyNumberFormat="1" applyFont="1" applyBorder="1" applyAlignment="1">
      <alignment horizontal="right" vertical="center"/>
    </xf>
    <xf numFmtId="176" fontId="17" fillId="0" borderId="38" xfId="4" applyNumberFormat="1" applyFont="1" applyBorder="1" applyAlignment="1">
      <alignment horizontal="center" vertical="center"/>
    </xf>
    <xf numFmtId="176" fontId="17" fillId="0" borderId="8" xfId="2" applyNumberFormat="1" applyFont="1" applyBorder="1" applyAlignment="1">
      <alignment horizontal="right" vertical="center"/>
    </xf>
    <xf numFmtId="0" fontId="16" fillId="0" borderId="39" xfId="0" applyFont="1" applyBorder="1">
      <alignment vertical="center"/>
    </xf>
    <xf numFmtId="0" fontId="16" fillId="0" borderId="39" xfId="0" applyFont="1" applyBorder="1" applyAlignment="1">
      <alignment horizontal="center" vertical="center"/>
    </xf>
    <xf numFmtId="41" fontId="8" fillId="0" borderId="8" xfId="2" applyFont="1" applyBorder="1" applyAlignment="1">
      <alignment horizontal="center" vertical="center"/>
    </xf>
    <xf numFmtId="176" fontId="8" fillId="0" borderId="38" xfId="2" applyNumberFormat="1" applyFont="1" applyBorder="1" applyAlignment="1">
      <alignment horizontal="right" vertical="center"/>
    </xf>
    <xf numFmtId="176" fontId="9" fillId="0" borderId="38" xfId="4" applyNumberFormat="1" applyFont="1" applyBorder="1" applyAlignment="1">
      <alignment horizontal="center" vertical="center"/>
    </xf>
    <xf numFmtId="176" fontId="8" fillId="0" borderId="8" xfId="2" applyNumberFormat="1" applyFont="1" applyBorder="1" applyAlignment="1">
      <alignment horizontal="right" vertical="center"/>
    </xf>
    <xf numFmtId="0" fontId="7" fillId="0" borderId="20" xfId="0" applyFont="1" applyBorder="1">
      <alignment vertical="center"/>
    </xf>
    <xf numFmtId="41" fontId="7" fillId="0" borderId="39" xfId="0" applyNumberFormat="1" applyFont="1" applyBorder="1">
      <alignment vertical="center"/>
    </xf>
    <xf numFmtId="0" fontId="7" fillId="0" borderId="22" xfId="0" applyFont="1" applyBorder="1">
      <alignment vertical="center"/>
    </xf>
    <xf numFmtId="0" fontId="7" fillId="0" borderId="36" xfId="0" applyFont="1" applyBorder="1">
      <alignment vertical="center"/>
    </xf>
    <xf numFmtId="0" fontId="17" fillId="0" borderId="14" xfId="0" applyFont="1" applyBorder="1" applyAlignment="1">
      <alignment horizontal="center" vertical="center"/>
    </xf>
    <xf numFmtId="0" fontId="7" fillId="0" borderId="26" xfId="0" applyFont="1" applyBorder="1">
      <alignment vertical="center"/>
    </xf>
    <xf numFmtId="0" fontId="16" fillId="0" borderId="35" xfId="0" applyFont="1" applyBorder="1" applyAlignment="1">
      <alignment horizontal="left" vertical="center"/>
    </xf>
    <xf numFmtId="0" fontId="7" fillId="3" borderId="36" xfId="0" applyFont="1" applyFill="1" applyBorder="1" applyAlignment="1">
      <alignment horizontal="left" vertical="center"/>
    </xf>
    <xf numFmtId="41" fontId="7" fillId="3" borderId="0" xfId="4" applyFont="1" applyFill="1">
      <alignment vertical="center"/>
    </xf>
    <xf numFmtId="0" fontId="7" fillId="3" borderId="0" xfId="0" applyFont="1" applyFill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7" fillId="3" borderId="0" xfId="0" quotePrefix="1" applyFont="1" applyFill="1" applyAlignment="1">
      <alignment horizontal="center" vertical="center"/>
    </xf>
    <xf numFmtId="0" fontId="7" fillId="3" borderId="25" xfId="0" applyFont="1" applyFill="1" applyBorder="1">
      <alignment vertical="center"/>
    </xf>
    <xf numFmtId="0" fontId="8" fillId="0" borderId="12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left" vertical="center" shrinkToFit="1"/>
    </xf>
    <xf numFmtId="41" fontId="7" fillId="0" borderId="6" xfId="4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63" xfId="0" applyFont="1" applyBorder="1">
      <alignment vertical="center"/>
    </xf>
    <xf numFmtId="0" fontId="7" fillId="0" borderId="40" xfId="0" applyFont="1" applyBorder="1" applyAlignment="1">
      <alignment horizontal="left" vertical="center"/>
    </xf>
    <xf numFmtId="0" fontId="7" fillId="0" borderId="28" xfId="0" applyFont="1" applyBorder="1" applyAlignment="1">
      <alignment horizontal="center" vertical="center" shrinkToFit="1"/>
    </xf>
    <xf numFmtId="41" fontId="7" fillId="0" borderId="22" xfId="2" applyFont="1" applyBorder="1">
      <alignment vertical="center"/>
    </xf>
    <xf numFmtId="0" fontId="8" fillId="0" borderId="15" xfId="0" applyFont="1" applyBorder="1" applyAlignment="1">
      <alignment horizontal="center" vertical="center"/>
    </xf>
    <xf numFmtId="41" fontId="17" fillId="0" borderId="38" xfId="4" applyFont="1" applyBorder="1" applyAlignment="1">
      <alignment horizontal="center" vertical="center"/>
    </xf>
    <xf numFmtId="41" fontId="8" fillId="0" borderId="38" xfId="4" applyFont="1" applyBorder="1" applyAlignment="1">
      <alignment horizontal="center" vertical="center"/>
    </xf>
    <xf numFmtId="0" fontId="16" fillId="0" borderId="0" xfId="0" quotePrefix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36" xfId="0" applyFont="1" applyBorder="1" applyAlignment="1">
      <alignment horizontal="left" vertical="center" shrinkToFit="1"/>
    </xf>
    <xf numFmtId="0" fontId="17" fillId="0" borderId="9" xfId="0" applyFont="1" applyBorder="1" applyAlignment="1">
      <alignment horizontal="center" vertical="center"/>
    </xf>
    <xf numFmtId="41" fontId="8" fillId="0" borderId="38" xfId="2" applyFont="1" applyBorder="1" applyAlignment="1">
      <alignment horizontal="center" vertical="center"/>
    </xf>
    <xf numFmtId="41" fontId="9" fillId="0" borderId="8" xfId="4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shrinkToFit="1"/>
    </xf>
    <xf numFmtId="41" fontId="8" fillId="0" borderId="9" xfId="2" applyFont="1" applyBorder="1" applyAlignment="1">
      <alignment horizontal="right" vertical="center"/>
    </xf>
    <xf numFmtId="41" fontId="8" fillId="0" borderId="34" xfId="2" applyFont="1" applyBorder="1" applyAlignment="1">
      <alignment horizontal="right" vertical="center"/>
    </xf>
    <xf numFmtId="41" fontId="8" fillId="0" borderId="9" xfId="4" applyFont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41" fontId="7" fillId="0" borderId="39" xfId="2" applyFont="1" applyBorder="1">
      <alignment vertical="center"/>
    </xf>
    <xf numFmtId="0" fontId="18" fillId="0" borderId="39" xfId="0" applyFont="1" applyBorder="1" applyAlignment="1">
      <alignment horizontal="center" vertical="center"/>
    </xf>
    <xf numFmtId="0" fontId="7" fillId="0" borderId="39" xfId="0" quotePrefix="1" applyFont="1" applyBorder="1" applyAlignment="1">
      <alignment horizontal="center" vertical="center"/>
    </xf>
    <xf numFmtId="41" fontId="7" fillId="0" borderId="39" xfId="4" applyFont="1" applyBorder="1">
      <alignment vertical="center"/>
    </xf>
    <xf numFmtId="0" fontId="7" fillId="0" borderId="26" xfId="0" quotePrefix="1" applyFont="1" applyBorder="1" applyAlignment="1">
      <alignment horizontal="center" vertical="center"/>
    </xf>
    <xf numFmtId="41" fontId="17" fillId="0" borderId="9" xfId="2" applyFont="1" applyBorder="1" applyAlignment="1">
      <alignment horizontal="center" vertical="center"/>
    </xf>
    <xf numFmtId="41" fontId="16" fillId="0" borderId="26" xfId="4" applyFont="1" applyBorder="1">
      <alignment vertical="center"/>
    </xf>
    <xf numFmtId="0" fontId="16" fillId="0" borderId="27" xfId="0" applyFont="1" applyBorder="1">
      <alignment vertical="center"/>
    </xf>
    <xf numFmtId="41" fontId="8" fillId="0" borderId="8" xfId="4" applyFont="1" applyBorder="1" applyAlignment="1">
      <alignment horizontal="right" vertical="center"/>
    </xf>
    <xf numFmtId="41" fontId="8" fillId="0" borderId="8" xfId="4" applyFont="1" applyBorder="1" applyAlignment="1">
      <alignment horizontal="center" vertical="center"/>
    </xf>
    <xf numFmtId="0" fontId="11" fillId="0" borderId="20" xfId="0" applyFont="1" applyBorder="1" applyAlignment="1">
      <alignment vertical="center" shrinkToFit="1"/>
    </xf>
    <xf numFmtId="0" fontId="8" fillId="0" borderId="10" xfId="0" applyFont="1" applyBorder="1" applyAlignment="1">
      <alignment horizontal="center" vertical="center"/>
    </xf>
    <xf numFmtId="0" fontId="7" fillId="0" borderId="64" xfId="0" applyFont="1" applyBorder="1" applyAlignment="1">
      <alignment horizontal="left" vertical="center"/>
    </xf>
    <xf numFmtId="41" fontId="7" fillId="0" borderId="6" xfId="2" applyFont="1" applyBorder="1">
      <alignment vertical="center"/>
    </xf>
    <xf numFmtId="41" fontId="8" fillId="0" borderId="0" xfId="2" applyFont="1" applyAlignment="1">
      <alignment horizontal="center" vertical="center"/>
    </xf>
    <xf numFmtId="3" fontId="8" fillId="0" borderId="0" xfId="2" applyNumberFormat="1" applyFont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177" fontId="8" fillId="0" borderId="0" xfId="2" applyNumberFormat="1" applyFont="1">
      <alignment vertical="center"/>
    </xf>
    <xf numFmtId="0" fontId="11" fillId="0" borderId="0" xfId="0" applyFont="1" applyAlignment="1">
      <alignment horizontal="left" vertical="center"/>
    </xf>
    <xf numFmtId="41" fontId="9" fillId="0" borderId="0" xfId="2" applyFont="1">
      <alignment vertical="center"/>
    </xf>
    <xf numFmtId="41" fontId="14" fillId="0" borderId="0" xfId="2" applyFont="1" applyAlignment="1">
      <alignment horizontal="center" vertical="center"/>
    </xf>
    <xf numFmtId="176" fontId="14" fillId="0" borderId="0" xfId="2" applyNumberFormat="1" applyFont="1" applyAlignment="1">
      <alignment horizontal="right" vertical="center"/>
    </xf>
    <xf numFmtId="177" fontId="14" fillId="0" borderId="0" xfId="2" applyNumberFormat="1" applyFont="1">
      <alignment vertical="center"/>
    </xf>
    <xf numFmtId="41" fontId="15" fillId="0" borderId="41" xfId="2" applyFont="1" applyBorder="1" applyAlignment="1">
      <alignment horizontal="center" vertical="center"/>
    </xf>
    <xf numFmtId="177" fontId="15" fillId="0" borderId="41" xfId="2" applyNumberFormat="1" applyFont="1" applyBorder="1" applyAlignment="1">
      <alignment horizontal="center" vertical="center"/>
    </xf>
    <xf numFmtId="41" fontId="15" fillId="0" borderId="42" xfId="2" applyFont="1" applyBorder="1" applyAlignment="1">
      <alignment horizontal="center" vertical="center"/>
    </xf>
    <xf numFmtId="41" fontId="15" fillId="2" borderId="43" xfId="4" applyFont="1" applyFill="1" applyBorder="1" applyAlignment="1">
      <alignment horizontal="center" vertical="center"/>
    </xf>
    <xf numFmtId="176" fontId="15" fillId="0" borderId="44" xfId="2" applyNumberFormat="1" applyFont="1" applyBorder="1" applyAlignment="1">
      <alignment horizontal="right" vertical="center"/>
    </xf>
    <xf numFmtId="177" fontId="15" fillId="0" borderId="44" xfId="2" applyNumberFormat="1" applyFont="1" applyBorder="1">
      <alignment vertical="center"/>
    </xf>
    <xf numFmtId="0" fontId="11" fillId="0" borderId="45" xfId="0" applyFont="1" applyBorder="1">
      <alignment vertical="center"/>
    </xf>
    <xf numFmtId="0" fontId="11" fillId="0" borderId="46" xfId="0" applyFont="1" applyBorder="1">
      <alignment vertical="center"/>
    </xf>
    <xf numFmtId="41" fontId="16" fillId="0" borderId="46" xfId="2" applyFont="1" applyBorder="1" applyAlignment="1">
      <alignment horizontal="center" vertical="center"/>
    </xf>
    <xf numFmtId="0" fontId="10" fillId="0" borderId="47" xfId="0" applyFont="1" applyBorder="1">
      <alignment vertical="center"/>
    </xf>
    <xf numFmtId="41" fontId="15" fillId="0" borderId="48" xfId="2" applyFont="1" applyBorder="1" applyAlignment="1">
      <alignment horizontal="center" vertical="center"/>
    </xf>
    <xf numFmtId="41" fontId="15" fillId="2" borderId="48" xfId="4" applyFont="1" applyFill="1" applyBorder="1" applyAlignment="1">
      <alignment horizontal="center" vertical="center"/>
    </xf>
    <xf numFmtId="176" fontId="15" fillId="0" borderId="48" xfId="2" applyNumberFormat="1" applyFont="1" applyBorder="1" applyAlignment="1">
      <alignment horizontal="right" vertical="center"/>
    </xf>
    <xf numFmtId="177" fontId="15" fillId="0" borderId="48" xfId="2" applyNumberFormat="1" applyFont="1" applyBorder="1">
      <alignment vertical="center"/>
    </xf>
    <xf numFmtId="0" fontId="11" fillId="0" borderId="19" xfId="0" applyFont="1" applyBorder="1" applyAlignment="1">
      <alignment horizontal="left" vertical="center"/>
    </xf>
    <xf numFmtId="41" fontId="7" fillId="0" borderId="49" xfId="2" applyFont="1" applyBorder="1">
      <alignment vertical="center"/>
    </xf>
    <xf numFmtId="0" fontId="7" fillId="0" borderId="49" xfId="0" applyFont="1" applyBorder="1">
      <alignment vertical="center"/>
    </xf>
    <xf numFmtId="0" fontId="7" fillId="0" borderId="49" xfId="0" applyFont="1" applyBorder="1" applyAlignment="1">
      <alignment horizontal="center" vertical="center"/>
    </xf>
    <xf numFmtId="41" fontId="16" fillId="0" borderId="49" xfId="2" applyFont="1" applyBorder="1">
      <alignment vertical="center"/>
    </xf>
    <xf numFmtId="0" fontId="16" fillId="0" borderId="50" xfId="0" applyFont="1" applyBorder="1">
      <alignment vertical="center"/>
    </xf>
    <xf numFmtId="41" fontId="8" fillId="0" borderId="2" xfId="2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41" fontId="15" fillId="0" borderId="51" xfId="2" applyFont="1" applyBorder="1" applyAlignment="1">
      <alignment horizontal="center" vertical="center"/>
    </xf>
    <xf numFmtId="41" fontId="15" fillId="2" borderId="51" xfId="4" applyFont="1" applyFill="1" applyBorder="1" applyAlignment="1">
      <alignment horizontal="center" vertical="center"/>
    </xf>
    <xf numFmtId="176" fontId="15" fillId="0" borderId="51" xfId="2" applyNumberFormat="1" applyFont="1" applyBorder="1" applyAlignment="1">
      <alignment horizontal="right" vertical="center"/>
    </xf>
    <xf numFmtId="177" fontId="15" fillId="0" borderId="51" xfId="2" applyNumberFormat="1" applyFont="1" applyBorder="1">
      <alignment vertical="center"/>
    </xf>
    <xf numFmtId="0" fontId="11" fillId="0" borderId="36" xfId="0" applyFont="1" applyBorder="1" applyAlignment="1">
      <alignment horizontal="left" vertical="center"/>
    </xf>
    <xf numFmtId="41" fontId="20" fillId="4" borderId="52" xfId="2" applyFont="1" applyFill="1" applyBorder="1" applyAlignment="1">
      <alignment horizontal="center" vertical="distributed"/>
    </xf>
    <xf numFmtId="41" fontId="21" fillId="4" borderId="52" xfId="2" applyFont="1" applyFill="1" applyBorder="1" applyAlignment="1">
      <alignment horizontal="center" vertical="distributed"/>
    </xf>
    <xf numFmtId="41" fontId="21" fillId="4" borderId="0" xfId="2" applyFont="1" applyFill="1" applyAlignment="1">
      <alignment horizontal="center" vertical="distributed"/>
    </xf>
    <xf numFmtId="0" fontId="7" fillId="0" borderId="53" xfId="0" applyFont="1" applyBorder="1" applyAlignment="1">
      <alignment horizontal="left" vertical="center"/>
    </xf>
    <xf numFmtId="182" fontId="7" fillId="0" borderId="0" xfId="0" applyNumberFormat="1" applyFont="1">
      <alignment vertical="center"/>
    </xf>
    <xf numFmtId="43" fontId="7" fillId="0" borderId="0" xfId="0" applyNumberFormat="1" applyFont="1">
      <alignment vertical="center"/>
    </xf>
    <xf numFmtId="0" fontId="7" fillId="0" borderId="54" xfId="0" applyFont="1" applyBorder="1" applyAlignment="1">
      <alignment horizontal="left" vertical="center"/>
    </xf>
    <xf numFmtId="0" fontId="7" fillId="0" borderId="28" xfId="0" applyFont="1" applyBorder="1">
      <alignment vertical="center"/>
    </xf>
    <xf numFmtId="0" fontId="7" fillId="0" borderId="16" xfId="0" applyFont="1" applyBorder="1" applyAlignment="1">
      <alignment horizontal="left" vertical="center" shrinkToFit="1"/>
    </xf>
    <xf numFmtId="0" fontId="1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>
      <alignment vertical="center"/>
    </xf>
    <xf numFmtId="0" fontId="16" fillId="0" borderId="26" xfId="0" applyFont="1" applyBorder="1" applyAlignment="1">
      <alignment horizontal="left" vertical="center"/>
    </xf>
    <xf numFmtId="0" fontId="17" fillId="0" borderId="35" xfId="0" applyFont="1" applyBorder="1" applyAlignment="1">
      <alignment horizontal="center" vertical="center"/>
    </xf>
    <xf numFmtId="41" fontId="17" fillId="0" borderId="55" xfId="2" applyFont="1" applyBorder="1" applyAlignment="1">
      <alignment horizontal="center" vertical="center"/>
    </xf>
    <xf numFmtId="41" fontId="17" fillId="2" borderId="55" xfId="4" applyFont="1" applyFill="1" applyBorder="1" applyAlignment="1">
      <alignment horizontal="center" vertical="center"/>
    </xf>
    <xf numFmtId="176" fontId="17" fillId="0" borderId="55" xfId="2" applyNumberFormat="1" applyFont="1" applyBorder="1" applyAlignment="1">
      <alignment horizontal="right" vertical="center"/>
    </xf>
    <xf numFmtId="177" fontId="17" fillId="0" borderId="55" xfId="2" applyNumberFormat="1" applyFont="1" applyBorder="1">
      <alignment vertical="center"/>
    </xf>
    <xf numFmtId="9" fontId="8" fillId="0" borderId="4" xfId="1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16" fillId="0" borderId="53" xfId="0" applyFont="1" applyBorder="1" applyAlignment="1">
      <alignment horizontal="left" vertical="center"/>
    </xf>
    <xf numFmtId="41" fontId="16" fillId="0" borderId="26" xfId="2" applyFont="1" applyBorder="1">
      <alignment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41" fontId="11" fillId="0" borderId="0" xfId="2" applyFont="1">
      <alignment vertical="center"/>
    </xf>
    <xf numFmtId="0" fontId="7" fillId="0" borderId="26" xfId="0" applyFont="1" applyBorder="1" applyAlignment="1">
      <alignment horizontal="left" vertical="center" shrinkToFit="1"/>
    </xf>
    <xf numFmtId="0" fontId="7" fillId="0" borderId="54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53" xfId="0" applyFont="1" applyBorder="1" applyAlignment="1">
      <alignment horizontal="left" vertical="center" shrinkToFit="1"/>
    </xf>
    <xf numFmtId="41" fontId="17" fillId="0" borderId="23" xfId="2" applyFont="1" applyBorder="1" applyAlignment="1">
      <alignment horizontal="center" vertical="center"/>
    </xf>
    <xf numFmtId="41" fontId="17" fillId="0" borderId="56" xfId="2" applyFont="1" applyBorder="1" applyAlignment="1">
      <alignment horizontal="center" vertical="center"/>
    </xf>
    <xf numFmtId="41" fontId="17" fillId="2" borderId="56" xfId="4" applyFont="1" applyFill="1" applyBorder="1" applyAlignment="1">
      <alignment horizontal="center" vertical="center"/>
    </xf>
    <xf numFmtId="176" fontId="17" fillId="0" borderId="56" xfId="2" applyNumberFormat="1" applyFont="1" applyBorder="1" applyAlignment="1">
      <alignment horizontal="right" vertical="center"/>
    </xf>
    <xf numFmtId="177" fontId="17" fillId="0" borderId="56" xfId="2" applyNumberFormat="1" applyFont="1" applyBorder="1">
      <alignment vertical="center"/>
    </xf>
    <xf numFmtId="0" fontId="7" fillId="0" borderId="57" xfId="0" applyFont="1" applyBorder="1" applyAlignment="1">
      <alignment horizontal="left" vertical="center"/>
    </xf>
    <xf numFmtId="41" fontId="7" fillId="0" borderId="58" xfId="2" applyFont="1" applyBorder="1">
      <alignment vertical="center"/>
    </xf>
    <xf numFmtId="0" fontId="7" fillId="0" borderId="58" xfId="0" applyFont="1" applyBorder="1">
      <alignment vertical="center"/>
    </xf>
    <xf numFmtId="0" fontId="7" fillId="0" borderId="58" xfId="0" applyFont="1" applyBorder="1" applyAlignment="1">
      <alignment horizontal="center" vertical="center"/>
    </xf>
    <xf numFmtId="0" fontId="7" fillId="0" borderId="59" xfId="0" applyFont="1" applyBorder="1">
      <alignment vertical="center"/>
    </xf>
    <xf numFmtId="0" fontId="16" fillId="0" borderId="9" xfId="0" applyFont="1" applyBorder="1" applyAlignment="1">
      <alignment vertical="center" shrinkToFit="1"/>
    </xf>
    <xf numFmtId="41" fontId="9" fillId="2" borderId="60" xfId="4" applyFont="1" applyFill="1" applyBorder="1" applyAlignment="1">
      <alignment horizontal="center" vertical="center"/>
    </xf>
    <xf numFmtId="0" fontId="7" fillId="0" borderId="39" xfId="0" applyFont="1" applyBorder="1" applyAlignment="1">
      <alignment horizontal="left" vertical="center"/>
    </xf>
    <xf numFmtId="0" fontId="16" fillId="0" borderId="4" xfId="0" applyFont="1" applyBorder="1" applyAlignment="1">
      <alignment vertical="center" shrinkToFit="1"/>
    </xf>
    <xf numFmtId="0" fontId="7" fillId="0" borderId="28" xfId="0" applyFont="1" applyBorder="1" applyAlignment="1">
      <alignment horizontal="left" vertical="center" shrinkToFit="1"/>
    </xf>
    <xf numFmtId="41" fontId="17" fillId="0" borderId="2" xfId="2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shrinkToFit="1"/>
    </xf>
    <xf numFmtId="0" fontId="9" fillId="0" borderId="40" xfId="0" applyFont="1" applyBorder="1" applyAlignment="1">
      <alignment horizontal="center" vertical="center" wrapText="1"/>
    </xf>
    <xf numFmtId="41" fontId="8" fillId="0" borderId="44" xfId="2" applyFont="1" applyBorder="1">
      <alignment vertical="center"/>
    </xf>
    <xf numFmtId="41" fontId="8" fillId="2" borderId="44" xfId="4" applyFont="1" applyFill="1" applyBorder="1">
      <alignment vertical="center"/>
    </xf>
    <xf numFmtId="41" fontId="7" fillId="0" borderId="28" xfId="0" applyNumberFormat="1" applyFont="1" applyBorder="1">
      <alignment vertical="center"/>
    </xf>
    <xf numFmtId="0" fontId="8" fillId="0" borderId="4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177" fontId="8" fillId="0" borderId="51" xfId="4" applyNumberFormat="1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 wrapText="1"/>
    </xf>
    <xf numFmtId="41" fontId="17" fillId="0" borderId="16" xfId="2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8" fillId="0" borderId="55" xfId="0" applyFont="1" applyBorder="1">
      <alignment vertical="center"/>
    </xf>
    <xf numFmtId="0" fontId="7" fillId="0" borderId="53" xfId="0" applyFont="1" applyBorder="1">
      <alignment vertical="center"/>
    </xf>
    <xf numFmtId="0" fontId="8" fillId="0" borderId="51" xfId="0" applyFont="1" applyBorder="1">
      <alignment vertical="center"/>
    </xf>
    <xf numFmtId="41" fontId="8" fillId="0" borderId="16" xfId="2" applyFont="1" applyBorder="1" applyAlignment="1">
      <alignment horizontal="center" vertical="center"/>
    </xf>
    <xf numFmtId="0" fontId="11" fillId="0" borderId="54" xfId="0" applyFont="1" applyBorder="1" applyAlignment="1">
      <alignment horizontal="left" vertical="center"/>
    </xf>
    <xf numFmtId="0" fontId="7" fillId="0" borderId="61" xfId="0" applyFont="1" applyBorder="1" applyAlignment="1">
      <alignment horizontal="left" vertical="center"/>
    </xf>
    <xf numFmtId="0" fontId="16" fillId="0" borderId="36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7" fillId="0" borderId="16" xfId="0" applyFont="1" applyBorder="1">
      <alignment vertical="center"/>
    </xf>
    <xf numFmtId="0" fontId="16" fillId="0" borderId="4" xfId="0" applyFont="1" applyBorder="1" applyAlignment="1">
      <alignment vertical="center" wrapText="1"/>
    </xf>
    <xf numFmtId="41" fontId="16" fillId="0" borderId="39" xfId="2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41" fontId="8" fillId="2" borderId="61" xfId="4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4" xfId="0" applyFont="1" applyBorder="1">
      <alignment vertical="center"/>
    </xf>
    <xf numFmtId="0" fontId="7" fillId="0" borderId="16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41" fontId="17" fillId="0" borderId="14" xfId="2" applyFont="1" applyBorder="1" applyAlignment="1">
      <alignment horizontal="center" vertical="center"/>
    </xf>
    <xf numFmtId="41" fontId="17" fillId="0" borderId="60" xfId="2" applyFont="1" applyBorder="1" applyAlignment="1">
      <alignment horizontal="center" vertical="center"/>
    </xf>
    <xf numFmtId="41" fontId="17" fillId="2" borderId="60" xfId="4" applyFont="1" applyFill="1" applyBorder="1" applyAlignment="1">
      <alignment horizontal="center" vertical="center"/>
    </xf>
    <xf numFmtId="176" fontId="17" fillId="0" borderId="60" xfId="2" applyNumberFormat="1" applyFont="1" applyBorder="1" applyAlignment="1">
      <alignment horizontal="right" vertical="center"/>
    </xf>
    <xf numFmtId="177" fontId="17" fillId="0" borderId="60" xfId="2" applyNumberFormat="1" applyFont="1" applyBorder="1">
      <alignment vertical="center"/>
    </xf>
    <xf numFmtId="41" fontId="8" fillId="0" borderId="60" xfId="2" applyFont="1" applyBorder="1">
      <alignment vertical="center"/>
    </xf>
    <xf numFmtId="41" fontId="8" fillId="2" borderId="60" xfId="2" applyFont="1" applyFill="1" applyBorder="1" applyAlignment="1">
      <alignment horizontal="center" vertical="center"/>
    </xf>
    <xf numFmtId="0" fontId="7" fillId="0" borderId="16" xfId="6" applyFont="1" applyBorder="1" applyAlignment="1">
      <alignment horizontal="left" vertical="center"/>
    </xf>
    <xf numFmtId="0" fontId="7" fillId="0" borderId="26" xfId="6" applyFont="1" applyBorder="1">
      <alignment vertical="center"/>
    </xf>
    <xf numFmtId="0" fontId="18" fillId="0" borderId="26" xfId="6" applyFont="1" applyBorder="1" applyAlignment="1">
      <alignment horizontal="center" vertical="center"/>
    </xf>
    <xf numFmtId="0" fontId="7" fillId="0" borderId="26" xfId="6" applyFont="1" applyBorder="1" applyAlignment="1">
      <alignment horizontal="center" vertical="center"/>
    </xf>
    <xf numFmtId="0" fontId="7" fillId="0" borderId="26" xfId="6" quotePrefix="1" applyFont="1" applyBorder="1" applyAlignment="1">
      <alignment horizontal="center" vertical="center"/>
    </xf>
    <xf numFmtId="0" fontId="7" fillId="0" borderId="27" xfId="6" applyFont="1" applyBorder="1">
      <alignment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25" xfId="6" applyFont="1" applyBorder="1">
      <alignment vertical="center"/>
    </xf>
    <xf numFmtId="41" fontId="8" fillId="2" borderId="44" xfId="2" applyFont="1" applyFill="1" applyBorder="1" applyAlignment="1">
      <alignment horizontal="center" vertical="center"/>
    </xf>
    <xf numFmtId="0" fontId="7" fillId="0" borderId="18" xfId="6" applyFont="1" applyBorder="1">
      <alignment vertical="center"/>
    </xf>
    <xf numFmtId="0" fontId="7" fillId="0" borderId="16" xfId="6" applyFont="1" applyBorder="1" applyAlignment="1">
      <alignment horizontal="left" vertical="center" shrinkToFit="1"/>
    </xf>
    <xf numFmtId="41" fontId="8" fillId="2" borderId="55" xfId="2" applyFont="1" applyFill="1" applyBorder="1" applyAlignment="1">
      <alignment horizontal="center" vertical="center"/>
    </xf>
    <xf numFmtId="41" fontId="8" fillId="2" borderId="51" xfId="2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shrinkToFit="1"/>
    </xf>
    <xf numFmtId="181" fontId="8" fillId="0" borderId="55" xfId="2" applyNumberFormat="1" applyFont="1" applyBorder="1" applyAlignment="1">
      <alignment horizontal="right" vertical="center"/>
    </xf>
    <xf numFmtId="41" fontId="17" fillId="0" borderId="15" xfId="2" applyFont="1" applyBorder="1" applyAlignment="1">
      <alignment horizontal="center" vertical="center"/>
    </xf>
    <xf numFmtId="0" fontId="7" fillId="0" borderId="54" xfId="6" applyFont="1" applyBorder="1" applyAlignment="1">
      <alignment horizontal="left" vertical="center"/>
    </xf>
    <xf numFmtId="0" fontId="7" fillId="0" borderId="28" xfId="6" applyFont="1" applyBorder="1">
      <alignment vertical="center"/>
    </xf>
    <xf numFmtId="0" fontId="18" fillId="0" borderId="28" xfId="6" applyFont="1" applyBorder="1" applyAlignment="1">
      <alignment horizontal="center" vertical="center"/>
    </xf>
    <xf numFmtId="0" fontId="7" fillId="0" borderId="28" xfId="6" applyFont="1" applyBorder="1" applyAlignment="1">
      <alignment horizontal="center" vertical="center"/>
    </xf>
    <xf numFmtId="0" fontId="7" fillId="0" borderId="28" xfId="6" quotePrefix="1" applyFont="1" applyBorder="1" applyAlignment="1">
      <alignment horizontal="center" vertical="center"/>
    </xf>
    <xf numFmtId="41" fontId="17" fillId="0" borderId="60" xfId="2" applyFont="1" applyBorder="1" applyAlignment="1">
      <alignment vertical="center" wrapText="1"/>
    </xf>
    <xf numFmtId="41" fontId="17" fillId="0" borderId="55" xfId="2" applyFont="1" applyBorder="1" applyAlignment="1">
      <alignment vertical="center" wrapText="1"/>
    </xf>
    <xf numFmtId="176" fontId="17" fillId="0" borderId="55" xfId="2" applyNumberFormat="1" applyFont="1" applyBorder="1" applyAlignment="1">
      <alignment horizontal="right" vertical="center" shrinkToFit="1"/>
    </xf>
    <xf numFmtId="177" fontId="17" fillId="0" borderId="55" xfId="2" applyNumberFormat="1" applyFont="1" applyBorder="1" applyAlignment="1">
      <alignment vertical="center" wrapText="1"/>
    </xf>
    <xf numFmtId="41" fontId="8" fillId="0" borderId="55" xfId="2" applyFont="1" applyBorder="1">
      <alignment vertical="center"/>
    </xf>
    <xf numFmtId="0" fontId="7" fillId="0" borderId="16" xfId="0" applyFont="1" applyBorder="1" applyAlignment="1">
      <alignment vertical="center" wrapText="1"/>
    </xf>
    <xf numFmtId="41" fontId="8" fillId="0" borderId="51" xfId="2" applyFont="1" applyBorder="1">
      <alignment vertical="center"/>
    </xf>
    <xf numFmtId="0" fontId="7" fillId="0" borderId="36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41" fontId="7" fillId="0" borderId="28" xfId="2" applyFont="1" applyBorder="1" applyAlignment="1">
      <alignment vertical="center" shrinkToFit="1"/>
    </xf>
    <xf numFmtId="41" fontId="8" fillId="0" borderId="27" xfId="2" applyFont="1" applyBorder="1">
      <alignment vertical="center"/>
    </xf>
    <xf numFmtId="41" fontId="8" fillId="0" borderId="10" xfId="2" applyFont="1" applyBorder="1" applyAlignment="1">
      <alignment horizontal="center" vertical="center"/>
    </xf>
    <xf numFmtId="41" fontId="8" fillId="0" borderId="63" xfId="2" applyFont="1" applyBorder="1">
      <alignment vertical="center"/>
    </xf>
    <xf numFmtId="0" fontId="1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177" fontId="8" fillId="0" borderId="0" xfId="2" applyNumberFormat="1" applyFont="1" applyAlignment="1">
      <alignment horizontal="right" vertical="center"/>
    </xf>
    <xf numFmtId="41" fontId="8" fillId="0" borderId="0" xfId="0" applyNumberFormat="1" applyFont="1" applyAlignment="1">
      <alignment horizontal="left" vertical="center"/>
    </xf>
    <xf numFmtId="43" fontId="7" fillId="0" borderId="0" xfId="0" applyNumberFormat="1" applyFont="1" applyAlignment="1">
      <alignment horizontal="left" vertical="center"/>
    </xf>
    <xf numFmtId="41" fontId="11" fillId="0" borderId="0" xfId="0" applyNumberFormat="1" applyFont="1" applyAlignment="1">
      <alignment horizontal="left" vertical="center"/>
    </xf>
    <xf numFmtId="176" fontId="8" fillId="2" borderId="61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41" fontId="7" fillId="0" borderId="0" xfId="2" applyFont="1" applyBorder="1">
      <alignment vertical="center"/>
    </xf>
    <xf numFmtId="0" fontId="7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shrinkToFit="1"/>
    </xf>
    <xf numFmtId="0" fontId="17" fillId="0" borderId="62" xfId="0" applyFont="1" applyBorder="1" applyAlignment="1">
      <alignment horizontal="center" vertical="center"/>
    </xf>
    <xf numFmtId="41" fontId="8" fillId="0" borderId="25" xfId="2" applyFont="1" applyBorder="1">
      <alignment vertical="center"/>
    </xf>
    <xf numFmtId="41" fontId="7" fillId="0" borderId="0" xfId="4" applyFont="1" applyBorder="1">
      <alignment vertical="center"/>
    </xf>
    <xf numFmtId="41" fontId="7" fillId="0" borderId="0" xfId="0" applyNumberFormat="1" applyFont="1" applyBorder="1">
      <alignment vertical="center"/>
    </xf>
    <xf numFmtId="176" fontId="7" fillId="0" borderId="0" xfId="2" applyNumberFormat="1" applyFont="1" applyBorder="1">
      <alignment vertical="center"/>
    </xf>
    <xf numFmtId="3" fontId="7" fillId="0" borderId="0" xfId="0" applyNumberFormat="1" applyFont="1" applyBorder="1">
      <alignment vertical="center"/>
    </xf>
    <xf numFmtId="0" fontId="11" fillId="0" borderId="0" xfId="0" applyFont="1" applyBorder="1" applyAlignment="1">
      <alignment horizontal="left" vertical="center"/>
    </xf>
    <xf numFmtId="176" fontId="7" fillId="0" borderId="0" xfId="4" applyNumberFormat="1" applyFont="1" applyBorder="1">
      <alignment vertical="center"/>
    </xf>
    <xf numFmtId="41" fontId="16" fillId="0" borderId="0" xfId="4" applyFont="1" applyBorder="1">
      <alignment vertical="center"/>
    </xf>
    <xf numFmtId="0" fontId="16" fillId="0" borderId="0" xfId="0" applyFont="1" applyBorder="1">
      <alignment vertical="center"/>
    </xf>
    <xf numFmtId="0" fontId="22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6" applyFont="1" applyBorder="1">
      <alignment vertical="center"/>
    </xf>
    <xf numFmtId="0" fontId="18" fillId="0" borderId="0" xfId="6" applyFont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0" xfId="6" quotePrefix="1" applyFont="1" applyBorder="1" applyAlignment="1">
      <alignment horizontal="center" vertical="center"/>
    </xf>
    <xf numFmtId="41" fontId="8" fillId="0" borderId="9" xfId="4" applyFont="1" applyBorder="1" applyAlignment="1">
      <alignment horizontal="center" vertical="center"/>
    </xf>
    <xf numFmtId="41" fontId="8" fillId="0" borderId="4" xfId="4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41" fontId="8" fillId="0" borderId="34" xfId="2" applyFont="1" applyBorder="1" applyAlignment="1">
      <alignment horizontal="center" vertical="center"/>
    </xf>
    <xf numFmtId="41" fontId="8" fillId="0" borderId="33" xfId="2" applyFont="1" applyBorder="1" applyAlignment="1">
      <alignment horizontal="center" vertical="center"/>
    </xf>
    <xf numFmtId="41" fontId="8" fillId="0" borderId="37" xfId="2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178" fontId="8" fillId="0" borderId="9" xfId="2" applyNumberFormat="1" applyFont="1" applyBorder="1" applyAlignment="1">
      <alignment horizontal="right" vertical="center"/>
    </xf>
    <xf numFmtId="178" fontId="8" fillId="0" borderId="3" xfId="2" applyNumberFormat="1" applyFont="1" applyBorder="1" applyAlignment="1">
      <alignment horizontal="right" vertical="center"/>
    </xf>
    <xf numFmtId="0" fontId="7" fillId="0" borderId="2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178" fontId="8" fillId="0" borderId="8" xfId="2" applyNumberFormat="1" applyFont="1" applyBorder="1" applyAlignment="1">
      <alignment horizontal="right" vertical="center"/>
    </xf>
    <xf numFmtId="41" fontId="8" fillId="0" borderId="12" xfId="4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176" fontId="8" fillId="0" borderId="55" xfId="2" applyNumberFormat="1" applyFont="1" applyBorder="1" applyAlignment="1">
      <alignment horizontal="right" vertical="center"/>
    </xf>
    <xf numFmtId="176" fontId="8" fillId="0" borderId="51" xfId="2" applyNumberFormat="1" applyFont="1" applyBorder="1" applyAlignment="1">
      <alignment horizontal="right" vertical="center"/>
    </xf>
    <xf numFmtId="176" fontId="8" fillId="0" borderId="44" xfId="2" applyNumberFormat="1" applyFont="1" applyBorder="1" applyAlignment="1">
      <alignment horizontal="right" vertical="center"/>
    </xf>
    <xf numFmtId="177" fontId="8" fillId="0" borderId="44" xfId="2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8" fillId="0" borderId="55" xfId="2" applyFont="1" applyBorder="1" applyAlignment="1">
      <alignment horizontal="center" vertical="center"/>
    </xf>
    <xf numFmtId="41" fontId="8" fillId="0" borderId="51" xfId="2" applyFont="1" applyBorder="1" applyAlignment="1">
      <alignment horizontal="center" vertical="center"/>
    </xf>
    <xf numFmtId="41" fontId="8" fillId="0" borderId="44" xfId="2" applyFont="1" applyBorder="1" applyAlignment="1">
      <alignment horizontal="center" vertical="center"/>
    </xf>
    <xf numFmtId="177" fontId="8" fillId="0" borderId="55" xfId="4" applyNumberFormat="1" applyFont="1" applyBorder="1">
      <alignment vertical="center"/>
    </xf>
    <xf numFmtId="177" fontId="8" fillId="0" borderId="55" xfId="2" applyNumberFormat="1" applyFont="1" applyBorder="1">
      <alignment vertical="center"/>
    </xf>
    <xf numFmtId="177" fontId="8" fillId="0" borderId="51" xfId="2" applyNumberFormat="1" applyFont="1" applyBorder="1">
      <alignment vertical="center"/>
    </xf>
    <xf numFmtId="177" fontId="8" fillId="0" borderId="44" xfId="2" applyNumberFormat="1" applyFont="1" applyBorder="1">
      <alignment vertical="center"/>
    </xf>
    <xf numFmtId="176" fontId="8" fillId="0" borderId="55" xfId="4" applyNumberFormat="1" applyFont="1" applyBorder="1" applyAlignment="1">
      <alignment horizontal="right" vertical="center"/>
    </xf>
    <xf numFmtId="176" fontId="8" fillId="0" borderId="51" xfId="4" applyNumberFormat="1" applyFont="1" applyBorder="1" applyAlignment="1">
      <alignment horizontal="right" vertical="center"/>
    </xf>
    <xf numFmtId="176" fontId="8" fillId="0" borderId="60" xfId="2" applyNumberFormat="1" applyFont="1" applyBorder="1" applyAlignment="1">
      <alignment horizontal="right" vertical="center"/>
    </xf>
    <xf numFmtId="177" fontId="8" fillId="0" borderId="60" xfId="2" applyNumberFormat="1" applyFont="1" applyBorder="1">
      <alignment vertical="center"/>
    </xf>
    <xf numFmtId="41" fontId="8" fillId="0" borderId="55" xfId="4" applyFont="1" applyBorder="1" applyAlignment="1">
      <alignment horizontal="center" vertical="center"/>
    </xf>
    <xf numFmtId="41" fontId="8" fillId="2" borderId="60" xfId="4" applyFont="1" applyFill="1" applyBorder="1" applyAlignment="1">
      <alignment horizontal="center" vertical="center"/>
    </xf>
    <xf numFmtId="41" fontId="8" fillId="0" borderId="60" xfId="4" applyFont="1" applyBorder="1" applyAlignment="1">
      <alignment horizontal="center" vertical="center"/>
    </xf>
    <xf numFmtId="176" fontId="8" fillId="0" borderId="60" xfId="4" applyNumberFormat="1" applyFont="1" applyBorder="1" applyAlignment="1">
      <alignment horizontal="right" vertical="center"/>
    </xf>
    <xf numFmtId="177" fontId="8" fillId="0" borderId="60" xfId="4" applyNumberFormat="1" applyFont="1" applyBorder="1" applyAlignment="1">
      <alignment horizontal="right" vertical="center"/>
    </xf>
    <xf numFmtId="41" fontId="8" fillId="0" borderId="51" xfId="4" applyFont="1" applyBorder="1" applyAlignment="1">
      <alignment horizontal="center" vertical="center"/>
    </xf>
    <xf numFmtId="41" fontId="8" fillId="2" borderId="55" xfId="4" applyFont="1" applyFill="1" applyBorder="1" applyAlignment="1">
      <alignment horizontal="center" vertical="center"/>
    </xf>
    <xf numFmtId="41" fontId="8" fillId="2" borderId="51" xfId="4" applyFont="1" applyFill="1" applyBorder="1" applyAlignment="1">
      <alignment horizontal="center" vertical="center"/>
    </xf>
    <xf numFmtId="41" fontId="8" fillId="2" borderId="44" xfId="4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41" fontId="8" fillId="0" borderId="60" xfId="2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3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7" fillId="0" borderId="0" xfId="4" applyFont="1" applyAlignment="1">
      <alignment horizontal="center" vertical="center"/>
    </xf>
    <xf numFmtId="176" fontId="7" fillId="0" borderId="28" xfId="4" applyNumberFormat="1" applyFont="1" applyBorder="1">
      <alignment vertical="center"/>
    </xf>
    <xf numFmtId="0" fontId="11" fillId="0" borderId="16" xfId="0" applyFont="1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top" wrapText="1"/>
    </xf>
    <xf numFmtId="0" fontId="7" fillId="0" borderId="54" xfId="0" applyFont="1" applyBorder="1">
      <alignment vertical="center"/>
    </xf>
    <xf numFmtId="0" fontId="7" fillId="5" borderId="16" xfId="0" applyFont="1" applyFill="1" applyBorder="1" applyAlignment="1">
      <alignment horizontal="left" vertical="center"/>
    </xf>
    <xf numFmtId="0" fontId="7" fillId="0" borderId="54" xfId="6" applyFont="1" applyBorder="1" applyAlignment="1">
      <alignment horizontal="left" vertical="center" shrinkToFit="1"/>
    </xf>
    <xf numFmtId="0" fontId="7" fillId="0" borderId="65" xfId="0" applyFont="1" applyBorder="1" applyAlignment="1">
      <alignment horizontal="left" vertical="center" shrinkToFit="1"/>
    </xf>
    <xf numFmtId="0" fontId="7" fillId="0" borderId="6" xfId="0" applyFont="1" applyBorder="1">
      <alignment vertical="center"/>
    </xf>
    <xf numFmtId="41" fontId="7" fillId="0" borderId="6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left" vertical="center"/>
    </xf>
    <xf numFmtId="41" fontId="3" fillId="0" borderId="0" xfId="2" applyFont="1">
      <alignment vertical="center"/>
    </xf>
    <xf numFmtId="41" fontId="3" fillId="0" borderId="0" xfId="0" applyNumberFormat="1" applyFont="1" applyAlignment="1">
      <alignment horizontal="center" vertical="center"/>
    </xf>
    <xf numFmtId="41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41" fontId="3" fillId="0" borderId="0" xfId="0" applyNumberFormat="1" applyFont="1">
      <alignment vertical="center"/>
    </xf>
    <xf numFmtId="0" fontId="3" fillId="0" borderId="0" xfId="0" applyFont="1">
      <alignment vertical="center"/>
    </xf>
    <xf numFmtId="3" fontId="8" fillId="0" borderId="9" xfId="2" applyNumberFormat="1" applyFont="1" applyBorder="1" applyAlignment="1">
      <alignment horizontal="right" vertical="center"/>
    </xf>
    <xf numFmtId="3" fontId="8" fillId="0" borderId="4" xfId="2" applyNumberFormat="1" applyFont="1" applyBorder="1" applyAlignment="1">
      <alignment horizontal="right" vertical="center"/>
    </xf>
    <xf numFmtId="41" fontId="8" fillId="0" borderId="9" xfId="4" applyFont="1" applyBorder="1" applyAlignment="1">
      <alignment horizontal="center" vertical="center"/>
    </xf>
    <xf numFmtId="41" fontId="8" fillId="0" borderId="4" xfId="4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41" fontId="8" fillId="0" borderId="3" xfId="2" applyFont="1" applyBorder="1" applyAlignment="1">
      <alignment horizontal="center" vertical="center"/>
    </xf>
    <xf numFmtId="41" fontId="8" fillId="0" borderId="34" xfId="2" applyFont="1" applyBorder="1" applyAlignment="1">
      <alignment horizontal="center" vertical="center"/>
    </xf>
    <xf numFmtId="41" fontId="8" fillId="0" borderId="33" xfId="2" applyFont="1" applyBorder="1" applyAlignment="1">
      <alignment horizontal="center" vertical="center"/>
    </xf>
    <xf numFmtId="41" fontId="8" fillId="0" borderId="37" xfId="2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178" fontId="8" fillId="0" borderId="9" xfId="2" applyNumberFormat="1" applyFont="1" applyBorder="1" applyAlignment="1">
      <alignment horizontal="right" vertical="center"/>
    </xf>
    <xf numFmtId="178" fontId="8" fillId="0" borderId="4" xfId="2" applyNumberFormat="1" applyFont="1" applyBorder="1" applyAlignment="1">
      <alignment horizontal="right" vertical="center"/>
    </xf>
    <xf numFmtId="178" fontId="8" fillId="0" borderId="3" xfId="2" applyNumberFormat="1" applyFont="1" applyBorder="1" applyAlignment="1">
      <alignment horizontal="right" vertical="center"/>
    </xf>
    <xf numFmtId="176" fontId="8" fillId="0" borderId="34" xfId="2" applyNumberFormat="1" applyFont="1" applyBorder="1" applyAlignment="1">
      <alignment horizontal="right" vertical="center"/>
    </xf>
    <xf numFmtId="176" fontId="8" fillId="0" borderId="33" xfId="2" applyNumberFormat="1" applyFont="1" applyBorder="1" applyAlignment="1">
      <alignment horizontal="right" vertical="center"/>
    </xf>
    <xf numFmtId="176" fontId="8" fillId="0" borderId="37" xfId="2" applyNumberFormat="1" applyFont="1" applyBorder="1" applyAlignment="1">
      <alignment horizontal="right" vertical="center"/>
    </xf>
    <xf numFmtId="0" fontId="7" fillId="0" borderId="2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8" fontId="8" fillId="0" borderId="12" xfId="2" applyNumberFormat="1" applyFont="1" applyBorder="1" applyAlignment="1">
      <alignment horizontal="right" vertical="center"/>
    </xf>
    <xf numFmtId="177" fontId="8" fillId="0" borderId="9" xfId="2" applyNumberFormat="1" applyFont="1" applyBorder="1" applyAlignment="1">
      <alignment horizontal="right" vertical="center"/>
    </xf>
    <xf numFmtId="177" fontId="8" fillId="0" borderId="3" xfId="2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178" fontId="8" fillId="0" borderId="8" xfId="2" applyNumberFormat="1" applyFont="1" applyBorder="1" applyAlignment="1">
      <alignment horizontal="right" vertical="center"/>
    </xf>
    <xf numFmtId="178" fontId="8" fillId="0" borderId="5" xfId="2" applyNumberFormat="1" applyFont="1" applyBorder="1" applyAlignment="1">
      <alignment horizontal="right" vertical="center"/>
    </xf>
    <xf numFmtId="0" fontId="17" fillId="0" borderId="39" xfId="0" applyFont="1" applyBorder="1" applyAlignment="1">
      <alignment horizontal="center" vertical="center"/>
    </xf>
    <xf numFmtId="41" fontId="8" fillId="0" borderId="12" xfId="4" applyFont="1" applyBorder="1" applyAlignment="1">
      <alignment horizontal="center" vertical="center"/>
    </xf>
    <xf numFmtId="3" fontId="8" fillId="0" borderId="12" xfId="2" applyNumberFormat="1" applyFont="1" applyBorder="1" applyAlignment="1">
      <alignment horizontal="right" vertical="center"/>
    </xf>
    <xf numFmtId="41" fontId="8" fillId="0" borderId="72" xfId="2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41" fontId="15" fillId="0" borderId="1" xfId="2" applyFont="1" applyBorder="1" applyAlignment="1">
      <alignment horizontal="center" vertical="center" wrapText="1"/>
    </xf>
    <xf numFmtId="41" fontId="15" fillId="0" borderId="12" xfId="2" applyFont="1" applyBorder="1" applyAlignment="1">
      <alignment horizontal="center" vertical="center" wrapText="1"/>
    </xf>
    <xf numFmtId="176" fontId="8" fillId="0" borderId="72" xfId="2" applyNumberFormat="1" applyFont="1" applyBorder="1" applyAlignment="1">
      <alignment horizontal="right" vertical="center"/>
    </xf>
    <xf numFmtId="0" fontId="16" fillId="0" borderId="3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176" fontId="8" fillId="0" borderId="9" xfId="4" applyNumberFormat="1" applyFont="1" applyBorder="1" applyAlignment="1">
      <alignment horizontal="center" vertical="center"/>
    </xf>
    <xf numFmtId="176" fontId="8" fillId="0" borderId="4" xfId="4" applyNumberFormat="1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41" fontId="15" fillId="0" borderId="73" xfId="4" applyFont="1" applyBorder="1" applyAlignment="1">
      <alignment horizontal="center" vertical="center" wrapText="1"/>
    </xf>
    <xf numFmtId="41" fontId="15" fillId="0" borderId="72" xfId="4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41" fontId="7" fillId="0" borderId="26" xfId="0" applyNumberFormat="1" applyFont="1" applyBorder="1" applyAlignment="1">
      <alignment horizontal="center" vertical="center"/>
    </xf>
    <xf numFmtId="177" fontId="8" fillId="0" borderId="4" xfId="2" applyNumberFormat="1" applyFont="1" applyBorder="1" applyAlignment="1">
      <alignment horizontal="right" vertical="center"/>
    </xf>
    <xf numFmtId="176" fontId="8" fillId="0" borderId="9" xfId="2" applyNumberFormat="1" applyFont="1" applyBorder="1" applyAlignment="1">
      <alignment horizontal="right" vertical="center"/>
    </xf>
    <xf numFmtId="176" fontId="8" fillId="0" borderId="3" xfId="2" applyNumberFormat="1" applyFont="1" applyBorder="1" applyAlignment="1">
      <alignment horizontal="right" vertical="center"/>
    </xf>
    <xf numFmtId="176" fontId="8" fillId="0" borderId="0" xfId="2" applyNumberFormat="1" applyFo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64" xfId="0" applyFont="1" applyBorder="1" applyAlignment="1">
      <alignment horizontal="center" vertical="center"/>
    </xf>
    <xf numFmtId="41" fontId="15" fillId="0" borderId="11" xfId="2" applyFont="1" applyBorder="1" applyAlignment="1">
      <alignment horizontal="center" vertical="center"/>
    </xf>
    <xf numFmtId="176" fontId="8" fillId="0" borderId="4" xfId="2" applyNumberFormat="1" applyFont="1" applyBorder="1" applyAlignment="1">
      <alignment horizontal="right" vertical="center"/>
    </xf>
    <xf numFmtId="177" fontId="8" fillId="0" borderId="9" xfId="0" applyNumberFormat="1" applyFont="1" applyBorder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177" fontId="8" fillId="0" borderId="3" xfId="0" applyNumberFormat="1" applyFont="1" applyBorder="1" applyAlignment="1">
      <alignment horizontal="right" vertical="center"/>
    </xf>
    <xf numFmtId="0" fontId="15" fillId="0" borderId="73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/>
    </xf>
    <xf numFmtId="176" fontId="8" fillId="0" borderId="55" xfId="2" applyNumberFormat="1" applyFont="1" applyBorder="1" applyAlignment="1">
      <alignment horizontal="right" vertical="center"/>
    </xf>
    <xf numFmtId="176" fontId="8" fillId="0" borderId="51" xfId="2" applyNumberFormat="1" applyFont="1" applyBorder="1" applyAlignment="1">
      <alignment horizontal="right" vertical="center"/>
    </xf>
    <xf numFmtId="176" fontId="8" fillId="0" borderId="44" xfId="2" applyNumberFormat="1" applyFont="1" applyBorder="1" applyAlignment="1">
      <alignment horizontal="right" vertical="center"/>
    </xf>
    <xf numFmtId="177" fontId="8" fillId="0" borderId="55" xfId="2" applyNumberFormat="1" applyFont="1" applyBorder="1" applyAlignment="1">
      <alignment horizontal="right" vertical="center"/>
    </xf>
    <xf numFmtId="177" fontId="8" fillId="0" borderId="51" xfId="2" applyNumberFormat="1" applyFont="1" applyBorder="1" applyAlignment="1">
      <alignment horizontal="right" vertical="center"/>
    </xf>
    <xf numFmtId="177" fontId="8" fillId="0" borderId="44" xfId="2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8" fillId="0" borderId="55" xfId="2" applyFont="1" applyBorder="1" applyAlignment="1">
      <alignment horizontal="center" vertical="center"/>
    </xf>
    <xf numFmtId="41" fontId="8" fillId="0" borderId="51" xfId="2" applyFont="1" applyBorder="1" applyAlignment="1">
      <alignment horizontal="center" vertical="center"/>
    </xf>
    <xf numFmtId="41" fontId="8" fillId="0" borderId="44" xfId="2" applyFont="1" applyBorder="1" applyAlignment="1">
      <alignment horizontal="center" vertical="center"/>
    </xf>
    <xf numFmtId="177" fontId="8" fillId="0" borderId="55" xfId="4" applyNumberFormat="1" applyFont="1" applyBorder="1">
      <alignment vertical="center"/>
    </xf>
    <xf numFmtId="177" fontId="8" fillId="0" borderId="51" xfId="4" applyNumberFormat="1" applyFont="1" applyBorder="1">
      <alignment vertical="center"/>
    </xf>
    <xf numFmtId="177" fontId="8" fillId="0" borderId="44" xfId="4" applyNumberFormat="1" applyFont="1" applyBorder="1">
      <alignment vertical="center"/>
    </xf>
    <xf numFmtId="177" fontId="8" fillId="0" borderId="55" xfId="2" applyNumberFormat="1" applyFont="1" applyBorder="1">
      <alignment vertical="center"/>
    </xf>
    <xf numFmtId="177" fontId="8" fillId="0" borderId="51" xfId="2" applyNumberFormat="1" applyFont="1" applyBorder="1">
      <alignment vertical="center"/>
    </xf>
    <xf numFmtId="177" fontId="8" fillId="0" borderId="44" xfId="2" applyNumberFormat="1" applyFont="1" applyBorder="1">
      <alignment vertical="center"/>
    </xf>
    <xf numFmtId="176" fontId="8" fillId="0" borderId="55" xfId="4" applyNumberFormat="1" applyFont="1" applyBorder="1" applyAlignment="1">
      <alignment horizontal="right" vertical="center"/>
    </xf>
    <xf numFmtId="176" fontId="8" fillId="0" borderId="44" xfId="4" applyNumberFormat="1" applyFont="1" applyBorder="1" applyAlignment="1">
      <alignment horizontal="right" vertical="center"/>
    </xf>
    <xf numFmtId="176" fontId="8" fillId="0" borderId="51" xfId="4" applyNumberFormat="1" applyFont="1" applyBorder="1" applyAlignment="1">
      <alignment horizontal="right" vertical="center"/>
    </xf>
    <xf numFmtId="177" fontId="8" fillId="0" borderId="55" xfId="4" applyNumberFormat="1" applyFont="1" applyBorder="1" applyAlignment="1">
      <alignment horizontal="right" vertical="center"/>
    </xf>
    <xf numFmtId="177" fontId="8" fillId="0" borderId="51" xfId="4" applyNumberFormat="1" applyFont="1" applyBorder="1" applyAlignment="1">
      <alignment horizontal="right" vertical="center"/>
    </xf>
    <xf numFmtId="177" fontId="8" fillId="0" borderId="44" xfId="4" applyNumberFormat="1" applyFont="1" applyBorder="1" applyAlignment="1">
      <alignment horizontal="right" vertical="center"/>
    </xf>
    <xf numFmtId="176" fontId="8" fillId="0" borderId="61" xfId="4" applyNumberFormat="1" applyFont="1" applyBorder="1" applyAlignment="1">
      <alignment horizontal="right" vertical="center"/>
    </xf>
    <xf numFmtId="179" fontId="7" fillId="0" borderId="28" xfId="0" applyNumberFormat="1" applyFont="1" applyBorder="1" applyAlignment="1">
      <alignment horizontal="center" vertical="center" shrinkToFit="1"/>
    </xf>
    <xf numFmtId="10" fontId="7" fillId="0" borderId="0" xfId="0" applyNumberFormat="1" applyFont="1" applyBorder="1" applyAlignment="1">
      <alignment horizontal="center" vertical="center"/>
    </xf>
    <xf numFmtId="176" fontId="8" fillId="0" borderId="60" xfId="2" applyNumberFormat="1" applyFont="1" applyBorder="1" applyAlignment="1">
      <alignment horizontal="right" vertical="center"/>
    </xf>
    <xf numFmtId="180" fontId="7" fillId="0" borderId="0" xfId="0" applyNumberFormat="1" applyFont="1" applyBorder="1" applyAlignment="1">
      <alignment horizontal="center" vertical="center"/>
    </xf>
    <xf numFmtId="177" fontId="8" fillId="0" borderId="60" xfId="2" applyNumberFormat="1" applyFont="1" applyBorder="1">
      <alignment vertical="center"/>
    </xf>
    <xf numFmtId="0" fontId="7" fillId="0" borderId="16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1" fontId="8" fillId="0" borderId="55" xfId="4" applyFont="1" applyBorder="1" applyAlignment="1">
      <alignment horizontal="center" vertical="center"/>
    </xf>
    <xf numFmtId="41" fontId="8" fillId="0" borderId="44" xfId="4" applyFont="1" applyBorder="1" applyAlignment="1">
      <alignment horizontal="center" vertical="center"/>
    </xf>
    <xf numFmtId="41" fontId="8" fillId="2" borderId="60" xfId="4" applyFont="1" applyFill="1" applyBorder="1" applyAlignment="1">
      <alignment horizontal="center" vertical="center"/>
    </xf>
    <xf numFmtId="41" fontId="8" fillId="0" borderId="60" xfId="4" applyFont="1" applyBorder="1" applyAlignment="1">
      <alignment horizontal="center" vertical="center"/>
    </xf>
    <xf numFmtId="177" fontId="8" fillId="0" borderId="55" xfId="4" applyNumberFormat="1" applyFont="1" applyBorder="1" applyAlignment="1">
      <alignment vertical="center" wrapText="1"/>
    </xf>
    <xf numFmtId="177" fontId="8" fillId="0" borderId="51" xfId="4" applyNumberFormat="1" applyFont="1" applyBorder="1" applyAlignment="1">
      <alignment vertical="center" wrapText="1"/>
    </xf>
    <xf numFmtId="177" fontId="8" fillId="0" borderId="44" xfId="4" applyNumberFormat="1" applyFont="1" applyBorder="1" applyAlignment="1">
      <alignment vertical="center" wrapText="1"/>
    </xf>
    <xf numFmtId="176" fontId="8" fillId="0" borderId="55" xfId="4" applyNumberFormat="1" applyFont="1" applyBorder="1" applyAlignment="1">
      <alignment horizontal="right" vertical="center" wrapText="1"/>
    </xf>
    <xf numFmtId="176" fontId="8" fillId="0" borderId="51" xfId="4" applyNumberFormat="1" applyFont="1" applyBorder="1" applyAlignment="1">
      <alignment horizontal="right" vertical="center" wrapText="1"/>
    </xf>
    <xf numFmtId="176" fontId="8" fillId="0" borderId="44" xfId="4" applyNumberFormat="1" applyFont="1" applyBorder="1" applyAlignment="1">
      <alignment horizontal="right" vertical="center" wrapText="1"/>
    </xf>
    <xf numFmtId="176" fontId="8" fillId="0" borderId="60" xfId="4" applyNumberFormat="1" applyFont="1" applyBorder="1" applyAlignment="1">
      <alignment horizontal="right" vertical="center"/>
    </xf>
    <xf numFmtId="177" fontId="8" fillId="0" borderId="60" xfId="4" applyNumberFormat="1" applyFont="1" applyBorder="1" applyAlignment="1">
      <alignment horizontal="right" vertical="center"/>
    </xf>
    <xf numFmtId="41" fontId="8" fillId="0" borderId="51" xfId="4" applyFont="1" applyBorder="1" applyAlignment="1">
      <alignment horizontal="center" vertical="center"/>
    </xf>
    <xf numFmtId="41" fontId="8" fillId="2" borderId="55" xfId="4" applyFont="1" applyFill="1" applyBorder="1" applyAlignment="1">
      <alignment horizontal="center" vertical="center"/>
    </xf>
    <xf numFmtId="41" fontId="8" fillId="2" borderId="51" xfId="4" applyFont="1" applyFill="1" applyBorder="1" applyAlignment="1">
      <alignment horizontal="center" vertical="center"/>
    </xf>
    <xf numFmtId="41" fontId="8" fillId="2" borderId="44" xfId="4" applyFont="1" applyFill="1" applyBorder="1" applyAlignment="1">
      <alignment horizontal="center" vertical="center"/>
    </xf>
    <xf numFmtId="41" fontId="8" fillId="2" borderId="55" xfId="4" applyFont="1" applyFill="1" applyBorder="1" applyAlignment="1">
      <alignment horizontal="center" vertical="center" wrapText="1"/>
    </xf>
    <xf numFmtId="41" fontId="8" fillId="2" borderId="51" xfId="4" applyFont="1" applyFill="1" applyBorder="1" applyAlignment="1">
      <alignment horizontal="center" vertical="center" wrapText="1"/>
    </xf>
    <xf numFmtId="41" fontId="8" fillId="2" borderId="44" xfId="4" applyFont="1" applyFill="1" applyBorder="1" applyAlignment="1">
      <alignment horizontal="center" vertical="center" wrapText="1"/>
    </xf>
    <xf numFmtId="41" fontId="15" fillId="2" borderId="67" xfId="4" applyFont="1" applyFill="1" applyBorder="1" applyAlignment="1">
      <alignment horizontal="center" vertical="center" wrapText="1"/>
    </xf>
    <xf numFmtId="41" fontId="15" fillId="2" borderId="43" xfId="4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41" fontId="8" fillId="0" borderId="55" xfId="4" applyFont="1" applyBorder="1" applyAlignment="1">
      <alignment horizontal="center" vertical="center" wrapText="1"/>
    </xf>
    <xf numFmtId="41" fontId="8" fillId="0" borderId="51" xfId="4" applyFont="1" applyBorder="1" applyAlignment="1">
      <alignment horizontal="center" vertical="center" wrapText="1"/>
    </xf>
    <xf numFmtId="41" fontId="8" fillId="0" borderId="44" xfId="4" applyFont="1" applyBorder="1" applyAlignment="1">
      <alignment horizontal="center" vertical="center" wrapText="1"/>
    </xf>
    <xf numFmtId="41" fontId="8" fillId="0" borderId="60" xfId="2" applyFont="1" applyBorder="1" applyAlignment="1">
      <alignment horizontal="center" vertical="center"/>
    </xf>
    <xf numFmtId="41" fontId="8" fillId="0" borderId="55" xfId="2" applyFont="1" applyBorder="1" applyAlignment="1">
      <alignment horizontal="right" vertical="center"/>
    </xf>
    <xf numFmtId="41" fontId="8" fillId="0" borderId="51" xfId="2" applyFont="1" applyBorder="1" applyAlignment="1">
      <alignment horizontal="right" vertical="center"/>
    </xf>
    <xf numFmtId="41" fontId="8" fillId="0" borderId="44" xfId="2" applyFont="1" applyBorder="1" applyAlignment="1">
      <alignment horizontal="right" vertical="center"/>
    </xf>
    <xf numFmtId="41" fontId="8" fillId="2" borderId="41" xfId="4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66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17" fillId="0" borderId="22" xfId="0" applyFont="1" applyBorder="1" applyAlignment="1">
      <alignment horizontal="center" vertical="center"/>
    </xf>
    <xf numFmtId="41" fontId="8" fillId="0" borderId="55" xfId="2" applyFont="1" applyBorder="1" applyAlignment="1">
      <alignment horizontal="center" vertical="center" wrapText="1"/>
    </xf>
    <xf numFmtId="41" fontId="8" fillId="0" borderId="51" xfId="2" applyFont="1" applyBorder="1" applyAlignment="1">
      <alignment horizontal="center" vertical="center" wrapText="1"/>
    </xf>
    <xf numFmtId="41" fontId="8" fillId="0" borderId="44" xfId="2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5" fillId="0" borderId="67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/>
    </xf>
    <xf numFmtId="41" fontId="15" fillId="0" borderId="56" xfId="2" applyFont="1" applyBorder="1" applyAlignment="1">
      <alignment horizontal="center" vertical="center"/>
    </xf>
    <xf numFmtId="177" fontId="8" fillId="0" borderId="60" xfId="4" applyNumberFormat="1" applyFont="1" applyBorder="1">
      <alignment vertical="center"/>
    </xf>
    <xf numFmtId="177" fontId="8" fillId="0" borderId="53" xfId="4" applyNumberFormat="1" applyFont="1" applyBorder="1">
      <alignment vertical="center"/>
    </xf>
    <xf numFmtId="177" fontId="8" fillId="0" borderId="54" xfId="4" applyNumberFormat="1" applyFont="1" applyBorder="1">
      <alignment vertical="center"/>
    </xf>
    <xf numFmtId="0" fontId="13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 shrinkToFit="1"/>
    </xf>
    <xf numFmtId="0" fontId="7" fillId="0" borderId="36" xfId="0" applyFont="1" applyBorder="1" applyAlignment="1">
      <alignment horizontal="center" vertical="center" wrapText="1" shrinkToFit="1"/>
    </xf>
    <xf numFmtId="0" fontId="7" fillId="0" borderId="40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wrapText="1"/>
    </xf>
    <xf numFmtId="176" fontId="8" fillId="0" borderId="68" xfId="2" applyNumberFormat="1" applyFont="1" applyBorder="1" applyAlignment="1">
      <alignment horizontal="right" vertical="center"/>
    </xf>
    <xf numFmtId="41" fontId="8" fillId="0" borderId="68" xfId="2" applyFont="1" applyBorder="1" applyAlignment="1">
      <alignment horizontal="center" vertical="center"/>
    </xf>
    <xf numFmtId="177" fontId="8" fillId="0" borderId="68" xfId="2" applyNumberFormat="1" applyFont="1" applyBorder="1" applyAlignment="1">
      <alignment horizontal="right" vertical="center"/>
    </xf>
    <xf numFmtId="0" fontId="7" fillId="0" borderId="71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/>
    </xf>
    <xf numFmtId="176" fontId="8" fillId="0" borderId="55" xfId="0" applyNumberFormat="1" applyFont="1" applyBorder="1" applyAlignment="1">
      <alignment horizontal="right" vertical="center"/>
    </xf>
    <xf numFmtId="176" fontId="8" fillId="0" borderId="51" xfId="0" applyNumberFormat="1" applyFont="1" applyBorder="1" applyAlignment="1">
      <alignment horizontal="right" vertical="center"/>
    </xf>
    <xf numFmtId="176" fontId="8" fillId="0" borderId="44" xfId="0" applyNumberFormat="1" applyFont="1" applyBorder="1" applyAlignment="1">
      <alignment horizontal="right" vertical="center"/>
    </xf>
    <xf numFmtId="176" fontId="8" fillId="2" borderId="60" xfId="0" applyNumberFormat="1" applyFont="1" applyFill="1" applyBorder="1" applyAlignment="1">
      <alignment horizontal="right" vertical="center"/>
    </xf>
    <xf numFmtId="177" fontId="8" fillId="0" borderId="51" xfId="0" applyNumberFormat="1" applyFont="1" applyBorder="1">
      <alignment vertical="center"/>
    </xf>
  </cellXfs>
  <cellStyles count="7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0"/>
  <sheetViews>
    <sheetView zoomScaleNormal="100" zoomScaleSheetLayoutView="75" workbookViewId="0">
      <selection activeCell="Q16" sqref="Q16"/>
    </sheetView>
  </sheetViews>
  <sheetFormatPr defaultColWidth="9" defaultRowHeight="16.5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</cols>
  <sheetData>
    <row r="1" spans="1:16" ht="29.25" customHeight="1"/>
    <row r="2" spans="1:16" ht="51" customHeight="1">
      <c r="A2" s="397" t="s">
        <v>457</v>
      </c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</row>
    <row r="3" spans="1:16">
      <c r="B3" s="1"/>
    </row>
    <row r="4" spans="1:16">
      <c r="B4" s="1"/>
    </row>
    <row r="5" spans="1:16" ht="21.75" customHeight="1">
      <c r="B5" s="2" t="s">
        <v>330</v>
      </c>
      <c r="C5" s="398" t="s">
        <v>458</v>
      </c>
      <c r="D5" s="398"/>
      <c r="E5" s="398"/>
      <c r="F5" s="398"/>
      <c r="G5" s="398"/>
      <c r="H5" s="398"/>
      <c r="I5" s="398"/>
      <c r="J5" s="398"/>
      <c r="K5" s="398"/>
      <c r="L5" s="398"/>
      <c r="M5" s="398"/>
      <c r="N5" s="398"/>
      <c r="O5" s="398"/>
    </row>
    <row r="6" spans="1:16" ht="21.75" customHeight="1">
      <c r="B6" s="2"/>
      <c r="C6" s="399" t="s">
        <v>459</v>
      </c>
      <c r="D6" s="399"/>
      <c r="E6" s="399"/>
      <c r="F6" s="399"/>
      <c r="G6" s="399"/>
      <c r="H6" s="399"/>
      <c r="I6" s="399"/>
      <c r="J6" s="399"/>
      <c r="K6" s="399"/>
      <c r="L6" s="399"/>
      <c r="M6" s="3"/>
      <c r="N6" s="3"/>
      <c r="O6" s="3"/>
    </row>
    <row r="7" spans="1:16" ht="21.75" customHeight="1">
      <c r="B7" s="2"/>
      <c r="C7" s="398" t="s">
        <v>161</v>
      </c>
      <c r="D7" s="398"/>
      <c r="E7" s="402" t="s">
        <v>161</v>
      </c>
      <c r="F7" s="402"/>
      <c r="G7" s="398"/>
      <c r="H7" s="398"/>
      <c r="I7" s="398"/>
      <c r="J7" s="398"/>
      <c r="K7" s="398"/>
      <c r="L7" s="398"/>
      <c r="M7" s="3"/>
      <c r="N7" s="3"/>
      <c r="O7" s="3"/>
    </row>
    <row r="8" spans="1:16" ht="21.75" customHeight="1">
      <c r="B8" s="2" t="s">
        <v>118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ht="21.75" customHeight="1">
      <c r="B9" s="2"/>
      <c r="C9" s="2" t="s">
        <v>369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6" ht="21.75" customHeight="1">
      <c r="B10" s="2"/>
      <c r="C10" s="2"/>
      <c r="D10" s="2" t="s">
        <v>365</v>
      </c>
      <c r="E10" s="3"/>
      <c r="F10" s="400">
        <v>130991.765</v>
      </c>
      <c r="G10" s="400"/>
      <c r="H10" s="3" t="s">
        <v>178</v>
      </c>
      <c r="I10" s="3" t="s">
        <v>218</v>
      </c>
      <c r="J10" s="400">
        <v>2800</v>
      </c>
      <c r="K10" s="400"/>
      <c r="L10" s="3" t="s">
        <v>178</v>
      </c>
      <c r="M10" s="3"/>
      <c r="N10" s="3"/>
      <c r="O10" s="3"/>
    </row>
    <row r="11" spans="1:16" ht="21.75" customHeight="1">
      <c r="B11" s="2"/>
      <c r="C11" s="2"/>
      <c r="D11" s="2" t="s">
        <v>261</v>
      </c>
      <c r="E11" s="3"/>
      <c r="F11" s="400">
        <v>0</v>
      </c>
      <c r="G11" s="400"/>
      <c r="H11" s="3" t="s">
        <v>178</v>
      </c>
      <c r="I11" s="3" t="s">
        <v>252</v>
      </c>
      <c r="J11" s="400">
        <v>2164929.99988</v>
      </c>
      <c r="K11" s="400"/>
      <c r="L11" s="3" t="s">
        <v>178</v>
      </c>
      <c r="M11" s="3"/>
      <c r="N11" s="3"/>
      <c r="O11" s="3"/>
    </row>
    <row r="12" spans="1:16" ht="21.75" customHeight="1">
      <c r="B12" s="2"/>
      <c r="C12" s="2"/>
      <c r="D12" s="2" t="s">
        <v>190</v>
      </c>
      <c r="E12" s="3"/>
      <c r="F12" s="400">
        <v>1670940</v>
      </c>
      <c r="G12" s="400"/>
      <c r="H12" s="3" t="s">
        <v>178</v>
      </c>
      <c r="I12" s="2" t="s">
        <v>268</v>
      </c>
      <c r="J12" s="401">
        <v>5420197.1209999993</v>
      </c>
      <c r="K12" s="401"/>
      <c r="L12" s="3" t="s">
        <v>178</v>
      </c>
      <c r="M12" s="3"/>
      <c r="N12" s="3"/>
      <c r="O12" s="3"/>
    </row>
    <row r="13" spans="1:16" ht="21.75" customHeight="1">
      <c r="B13" s="2"/>
      <c r="C13" s="2"/>
      <c r="D13" s="2" t="s">
        <v>338</v>
      </c>
      <c r="F13" s="400">
        <v>83136.399999999994</v>
      </c>
      <c r="G13" s="400"/>
      <c r="H13" s="3" t="s">
        <v>178</v>
      </c>
      <c r="I13" s="3"/>
      <c r="J13" s="401"/>
      <c r="K13" s="403"/>
      <c r="L13" s="3"/>
      <c r="M13" s="3"/>
      <c r="N13" s="3"/>
      <c r="O13" s="3"/>
    </row>
    <row r="14" spans="1:16" ht="21.75" customHeight="1">
      <c r="B14" s="2"/>
      <c r="C14" s="2" t="s">
        <v>181</v>
      </c>
      <c r="D14" s="3"/>
      <c r="E14" s="3"/>
      <c r="F14" s="3"/>
      <c r="G14" s="3"/>
      <c r="H14" s="3"/>
      <c r="I14" s="3"/>
      <c r="J14" s="406"/>
      <c r="K14" s="406"/>
      <c r="L14" s="3"/>
      <c r="M14" s="3"/>
      <c r="N14" s="3"/>
      <c r="O14" s="3"/>
    </row>
    <row r="15" spans="1:16" ht="21.75" customHeight="1">
      <c r="B15" s="2"/>
      <c r="C15" s="2"/>
      <c r="D15" s="2" t="s">
        <v>254</v>
      </c>
      <c r="E15" s="3"/>
      <c r="F15" s="400">
        <v>1552521.7098449999</v>
      </c>
      <c r="G15" s="400"/>
      <c r="H15" s="3" t="s">
        <v>178</v>
      </c>
      <c r="I15" s="3" t="s">
        <v>29</v>
      </c>
      <c r="J15" s="400">
        <v>2352887</v>
      </c>
      <c r="K15" s="400"/>
      <c r="L15" s="3" t="s">
        <v>178</v>
      </c>
      <c r="M15" s="3"/>
      <c r="N15" s="3"/>
      <c r="O15" s="3"/>
    </row>
    <row r="16" spans="1:16" ht="21.75" customHeight="1">
      <c r="B16" s="2"/>
      <c r="C16" s="2"/>
      <c r="D16" s="2" t="s">
        <v>249</v>
      </c>
      <c r="E16" s="3"/>
      <c r="F16" s="400">
        <v>1684811.2599999998</v>
      </c>
      <c r="G16" s="400"/>
      <c r="H16" s="3" t="s">
        <v>178</v>
      </c>
      <c r="I16" s="3" t="s">
        <v>39</v>
      </c>
      <c r="J16" s="400">
        <v>0</v>
      </c>
      <c r="K16" s="400"/>
      <c r="L16" s="3" t="s">
        <v>178</v>
      </c>
      <c r="M16" s="3"/>
      <c r="N16" s="3"/>
      <c r="O16" s="3"/>
    </row>
    <row r="17" spans="2:15" ht="21.75" customHeight="1">
      <c r="B17" s="2"/>
      <c r="C17" s="2"/>
      <c r="D17" s="2" t="s">
        <v>206</v>
      </c>
      <c r="E17" s="3"/>
      <c r="F17" s="400">
        <v>36000</v>
      </c>
      <c r="G17" s="400"/>
      <c r="H17" s="3" t="s">
        <v>178</v>
      </c>
      <c r="I17" s="3" t="s">
        <v>214</v>
      </c>
      <c r="J17" s="400">
        <v>0</v>
      </c>
      <c r="K17" s="400"/>
      <c r="L17" s="3" t="s">
        <v>178</v>
      </c>
      <c r="M17" s="3"/>
      <c r="N17" s="3"/>
      <c r="O17" s="3"/>
    </row>
    <row r="18" spans="2:15" ht="21.75" customHeight="1">
      <c r="B18" s="2"/>
      <c r="C18" s="2"/>
      <c r="D18" s="2" t="s">
        <v>56</v>
      </c>
      <c r="E18" s="3"/>
      <c r="F18" s="400">
        <v>1461836.0898195999</v>
      </c>
      <c r="G18" s="400"/>
      <c r="H18" s="3" t="s">
        <v>178</v>
      </c>
      <c r="I18" s="4" t="s">
        <v>52</v>
      </c>
      <c r="J18" s="400">
        <v>2384938.7690000003</v>
      </c>
      <c r="K18" s="400"/>
      <c r="L18" s="3" t="s">
        <v>178</v>
      </c>
      <c r="M18" s="3"/>
      <c r="N18" s="3"/>
      <c r="O18" s="3"/>
    </row>
    <row r="19" spans="2:15" ht="21.75" customHeight="1">
      <c r="B19" s="2"/>
      <c r="C19" s="2"/>
      <c r="D19" s="2"/>
      <c r="E19" s="3"/>
      <c r="F19" s="400"/>
      <c r="G19" s="400"/>
      <c r="H19" s="3"/>
      <c r="I19" s="3"/>
      <c r="J19" s="3"/>
      <c r="K19" s="3"/>
      <c r="L19" s="3"/>
      <c r="M19" s="3"/>
      <c r="N19" s="3"/>
      <c r="O19" s="3"/>
    </row>
    <row r="20" spans="2:15" ht="21.75" customHeight="1">
      <c r="B20" s="2" t="s">
        <v>460</v>
      </c>
      <c r="C20" s="3" t="s">
        <v>119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2:15" ht="21.75" customHeight="1"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2:15" ht="21.75" customHeight="1">
      <c r="B22" s="2"/>
      <c r="C22" s="3"/>
      <c r="D22" s="404"/>
      <c r="E22" s="404"/>
      <c r="F22" s="405"/>
      <c r="G22" s="405"/>
      <c r="H22" s="3"/>
      <c r="I22" s="3"/>
      <c r="J22" s="3"/>
      <c r="K22" s="3"/>
    </row>
    <row r="23" spans="2:15" ht="21.75" customHeight="1">
      <c r="B23" s="2"/>
      <c r="C23" s="3" t="s">
        <v>161</v>
      </c>
      <c r="D23" s="404"/>
      <c r="E23" s="404"/>
      <c r="F23" s="405"/>
      <c r="G23" s="405"/>
      <c r="H23" s="3"/>
      <c r="I23" s="3"/>
      <c r="J23" s="3"/>
      <c r="K23" s="3"/>
    </row>
    <row r="24" spans="2:15" ht="21.75" customHeight="1">
      <c r="B24" s="2"/>
      <c r="C24" s="3"/>
      <c r="D24" s="404"/>
      <c r="E24" s="404"/>
      <c r="F24" s="405"/>
      <c r="G24" s="405"/>
      <c r="H24" s="3"/>
      <c r="I24" s="3"/>
      <c r="J24" s="3"/>
      <c r="K24" s="3"/>
    </row>
    <row r="25" spans="2:15" ht="21.75" customHeight="1">
      <c r="B25" s="2"/>
      <c r="C25" s="3"/>
      <c r="D25" s="3"/>
      <c r="E25" s="3"/>
      <c r="F25" s="3"/>
      <c r="G25" s="3"/>
      <c r="H25" s="3"/>
      <c r="I25" s="3"/>
      <c r="J25" s="3"/>
      <c r="K25" s="3"/>
    </row>
    <row r="26" spans="2:15" ht="21.75" customHeight="1">
      <c r="B26" s="2"/>
      <c r="C26" s="3"/>
      <c r="D26" s="3"/>
      <c r="E26" s="3"/>
      <c r="F26" s="3"/>
      <c r="G26" s="3"/>
      <c r="H26" s="3"/>
      <c r="I26" s="3"/>
      <c r="J26" s="3"/>
      <c r="K26" s="3"/>
    </row>
    <row r="27" spans="2:15" ht="21.75" customHeight="1">
      <c r="B27" s="2"/>
      <c r="C27" s="3"/>
      <c r="D27" s="3"/>
      <c r="E27" s="3"/>
      <c r="F27" s="3"/>
      <c r="G27" s="3"/>
      <c r="H27" s="3"/>
      <c r="I27" s="3"/>
      <c r="J27" s="3"/>
      <c r="K27" s="3"/>
    </row>
    <row r="28" spans="2:15" ht="21.75" customHeight="1">
      <c r="B28" s="2"/>
      <c r="C28" s="3"/>
      <c r="D28" s="3"/>
      <c r="E28" s="3"/>
      <c r="F28" s="3"/>
      <c r="G28" s="3"/>
      <c r="H28" s="3"/>
      <c r="I28" s="3"/>
      <c r="J28" s="3"/>
      <c r="K28" s="3"/>
    </row>
    <row r="29" spans="2:15" ht="21.75" customHeight="1">
      <c r="B29" s="2"/>
      <c r="C29" s="3"/>
      <c r="D29" s="3"/>
      <c r="E29" s="3"/>
      <c r="F29" s="3"/>
      <c r="G29" s="3"/>
      <c r="H29" s="3"/>
      <c r="I29" s="3"/>
      <c r="J29" s="3"/>
      <c r="K29" s="3"/>
    </row>
    <row r="30" spans="2:15" ht="21.75" customHeight="1">
      <c r="B30" s="2"/>
      <c r="C30" s="3"/>
      <c r="D30" s="3"/>
      <c r="E30" s="3"/>
      <c r="F30" s="3"/>
      <c r="G30" s="3"/>
      <c r="H30" s="3"/>
      <c r="I30" s="3"/>
      <c r="J30" s="3"/>
      <c r="K30" s="3"/>
    </row>
  </sheetData>
  <mergeCells count="30">
    <mergeCell ref="J18:K18"/>
    <mergeCell ref="F24:G24"/>
    <mergeCell ref="F19:G19"/>
    <mergeCell ref="F22:G22"/>
    <mergeCell ref="J14:K14"/>
    <mergeCell ref="J15:K15"/>
    <mergeCell ref="D24:E24"/>
    <mergeCell ref="D22:E22"/>
    <mergeCell ref="D23:E23"/>
    <mergeCell ref="F10:G10"/>
    <mergeCell ref="F11:G11"/>
    <mergeCell ref="F23:G23"/>
    <mergeCell ref="F12:G12"/>
    <mergeCell ref="F15:G15"/>
    <mergeCell ref="F13:G13"/>
    <mergeCell ref="F17:G17"/>
    <mergeCell ref="F18:G18"/>
    <mergeCell ref="F16:G16"/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Q103"/>
  <sheetViews>
    <sheetView view="pageBreakPreview" zoomScaleNormal="100" zoomScaleSheetLayoutView="100" workbookViewId="0">
      <selection activeCell="T15" sqref="T15"/>
    </sheetView>
  </sheetViews>
  <sheetFormatPr defaultColWidth="9" defaultRowHeight="16.5"/>
  <cols>
    <col min="1" max="2" width="7.125" style="111" customWidth="1"/>
    <col min="3" max="3" width="13.25" style="111" customWidth="1"/>
    <col min="4" max="5" width="13.125" style="135" customWidth="1"/>
    <col min="6" max="6" width="0.125" style="135" hidden="1" customWidth="1"/>
    <col min="7" max="7" width="11.625" style="136" customWidth="1"/>
    <col min="8" max="8" width="8.125" style="137" customWidth="1"/>
    <col min="9" max="9" width="20.75" style="26" customWidth="1"/>
    <col min="10" max="10" width="12.5" style="26" customWidth="1"/>
    <col min="11" max="11" width="3.125" style="27" customWidth="1"/>
    <col min="12" max="12" width="2.625" style="27" customWidth="1"/>
    <col min="13" max="14" width="3.125" style="26" customWidth="1"/>
    <col min="15" max="15" width="2.625" style="26" customWidth="1"/>
    <col min="16" max="16" width="13.625" style="26" customWidth="1"/>
    <col min="17" max="17" width="2.5" style="26" customWidth="1"/>
    <col min="18" max="16384" width="9" style="5"/>
  </cols>
  <sheetData>
    <row r="1" spans="1:17" ht="22.5">
      <c r="A1" s="458" t="s">
        <v>464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</row>
    <row r="2" spans="1:17" ht="22.5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</row>
    <row r="3" spans="1:17" ht="21.95" customHeight="1">
      <c r="A3" s="457" t="s">
        <v>327</v>
      </c>
      <c r="B3" s="457"/>
      <c r="C3" s="7"/>
      <c r="D3" s="7"/>
      <c r="E3" s="7"/>
      <c r="F3" s="7"/>
      <c r="G3" s="8"/>
      <c r="H3" s="9"/>
      <c r="I3" s="7"/>
      <c r="J3" s="7" t="s">
        <v>161</v>
      </c>
      <c r="K3" s="7"/>
      <c r="L3" s="7"/>
      <c r="M3" s="7"/>
      <c r="N3" s="7"/>
      <c r="O3" s="451" t="s">
        <v>25</v>
      </c>
      <c r="P3" s="451"/>
      <c r="Q3" s="451"/>
    </row>
    <row r="4" spans="1:17" ht="19.5" customHeight="1">
      <c r="A4" s="461" t="s">
        <v>165</v>
      </c>
      <c r="B4" s="465" t="s">
        <v>125</v>
      </c>
      <c r="C4" s="472" t="s">
        <v>122</v>
      </c>
      <c r="D4" s="452" t="s">
        <v>421</v>
      </c>
      <c r="E4" s="452" t="s">
        <v>422</v>
      </c>
      <c r="F4" s="463" t="s">
        <v>184</v>
      </c>
      <c r="G4" s="474" t="s">
        <v>366</v>
      </c>
      <c r="H4" s="474"/>
      <c r="I4" s="479" t="s">
        <v>423</v>
      </c>
      <c r="J4" s="465"/>
      <c r="K4" s="465"/>
      <c r="L4" s="465"/>
      <c r="M4" s="465"/>
      <c r="N4" s="465"/>
      <c r="O4" s="465"/>
      <c r="P4" s="465"/>
      <c r="Q4" s="480"/>
    </row>
    <row r="5" spans="1:17" ht="19.5" customHeight="1">
      <c r="A5" s="462"/>
      <c r="B5" s="466"/>
      <c r="C5" s="473"/>
      <c r="D5" s="453"/>
      <c r="E5" s="453"/>
      <c r="F5" s="464"/>
      <c r="G5" s="10" t="s">
        <v>142</v>
      </c>
      <c r="H5" s="11" t="s">
        <v>323</v>
      </c>
      <c r="I5" s="481"/>
      <c r="J5" s="466"/>
      <c r="K5" s="466"/>
      <c r="L5" s="466"/>
      <c r="M5" s="466"/>
      <c r="N5" s="466"/>
      <c r="O5" s="466"/>
      <c r="P5" s="466"/>
      <c r="Q5" s="482"/>
    </row>
    <row r="6" spans="1:17" ht="20.100000000000001" customHeight="1">
      <c r="A6" s="485" t="s">
        <v>360</v>
      </c>
      <c r="B6" s="486"/>
      <c r="C6" s="487"/>
      <c r="D6" s="12">
        <f>SUM(D7,D67,D37,D82,D27,D33,D87)</f>
        <v>8393197</v>
      </c>
      <c r="E6" s="12">
        <f>SUM(E7,E67,E37,E82,E27,E33,E87)</f>
        <v>9472994.2858799994</v>
      </c>
      <c r="F6" s="13" t="e">
        <f>SUM(F7,#REF!,F67,F37,F82,F27,#REF!,#REF!,F33)</f>
        <v>#REF!</v>
      </c>
      <c r="G6" s="14">
        <f>+E6-D6</f>
        <v>1079797.2858799994</v>
      </c>
      <c r="H6" s="15">
        <f>+G6/D6*100</f>
        <v>12.865148832798745</v>
      </c>
      <c r="I6" s="16"/>
      <c r="J6" s="16"/>
      <c r="K6" s="17"/>
      <c r="L6" s="17"/>
      <c r="M6" s="16"/>
      <c r="N6" s="16"/>
      <c r="O6" s="16"/>
      <c r="P6" s="18">
        <f>SUM(P7,P27,P33,P37,P67,P82,P87)</f>
        <v>9472994828.8800011</v>
      </c>
      <c r="Q6" s="19" t="s">
        <v>148</v>
      </c>
    </row>
    <row r="7" spans="1:17" s="30" customFormat="1" ht="18.95" customHeight="1">
      <c r="A7" s="20" t="s">
        <v>167</v>
      </c>
      <c r="B7" s="483" t="s">
        <v>168</v>
      </c>
      <c r="C7" s="484"/>
      <c r="D7" s="21">
        <f>SUM(D8)</f>
        <v>86251</v>
      </c>
      <c r="E7" s="22">
        <f>SUM(E8)</f>
        <v>130991.765</v>
      </c>
      <c r="F7" s="23">
        <f>SUM(F8)</f>
        <v>71084</v>
      </c>
      <c r="G7" s="24">
        <f>+E7-D7</f>
        <v>44740.764999999999</v>
      </c>
      <c r="H7" s="25">
        <f>+G7/D7*100</f>
        <v>51.872749301457375</v>
      </c>
      <c r="I7" s="26"/>
      <c r="J7" s="26"/>
      <c r="K7" s="27"/>
      <c r="L7" s="27"/>
      <c r="M7" s="26"/>
      <c r="N7" s="26"/>
      <c r="O7" s="26"/>
      <c r="P7" s="28">
        <f>P8</f>
        <v>130992308</v>
      </c>
      <c r="Q7" s="29" t="s">
        <v>148</v>
      </c>
    </row>
    <row r="8" spans="1:17" s="30" customFormat="1" ht="17.100000000000001" customHeight="1">
      <c r="A8" s="20" t="s">
        <v>152</v>
      </c>
      <c r="B8" s="32" t="s">
        <v>155</v>
      </c>
      <c r="C8" s="333" t="s">
        <v>169</v>
      </c>
      <c r="D8" s="324">
        <f>SUM(D9:D26)</f>
        <v>86251</v>
      </c>
      <c r="E8" s="326">
        <f>SUM(E9:E26)</f>
        <v>130991.765</v>
      </c>
      <c r="F8" s="33">
        <f>SUM(F9:F24)</f>
        <v>71084</v>
      </c>
      <c r="G8" s="34">
        <f>+E8-D8</f>
        <v>44740.764999999999</v>
      </c>
      <c r="H8" s="340">
        <f>+G8/D8*100</f>
        <v>51.872749301457375</v>
      </c>
      <c r="I8" s="35"/>
      <c r="J8" s="35"/>
      <c r="K8" s="36"/>
      <c r="L8" s="36"/>
      <c r="M8" s="35"/>
      <c r="N8" s="35"/>
      <c r="O8" s="35"/>
      <c r="P8" s="37">
        <f>SUM(P9,P18,P20,P25)</f>
        <v>130992308</v>
      </c>
      <c r="Q8" s="38" t="s">
        <v>148</v>
      </c>
    </row>
    <row r="9" spans="1:17" s="30" customFormat="1" ht="17.100000000000001" customHeight="1">
      <c r="A9" s="39"/>
      <c r="B9" s="40" t="s">
        <v>333</v>
      </c>
      <c r="C9" s="426" t="s">
        <v>247</v>
      </c>
      <c r="D9" s="412">
        <v>60940</v>
      </c>
      <c r="E9" s="415">
        <v>77394</v>
      </c>
      <c r="F9" s="41">
        <v>0</v>
      </c>
      <c r="G9" s="469">
        <f>+E9-D9</f>
        <v>16454</v>
      </c>
      <c r="H9" s="476">
        <f>+G9/D9*100</f>
        <v>27.000328191663929</v>
      </c>
      <c r="I9" s="42"/>
      <c r="J9" s="43"/>
      <c r="K9" s="332"/>
      <c r="L9" s="332"/>
      <c r="M9" s="425" t="s">
        <v>162</v>
      </c>
      <c r="N9" s="425"/>
      <c r="O9" s="425"/>
      <c r="P9" s="43">
        <f>SUM(P10:P17)</f>
        <v>77394543</v>
      </c>
      <c r="Q9" s="38" t="s">
        <v>148</v>
      </c>
    </row>
    <row r="10" spans="1:17" s="30" customFormat="1" ht="17.100000000000001" customHeight="1">
      <c r="A10" s="39"/>
      <c r="B10" s="336"/>
      <c r="C10" s="427"/>
      <c r="D10" s="413"/>
      <c r="E10" s="416"/>
      <c r="F10" s="44"/>
      <c r="G10" s="475"/>
      <c r="H10" s="477"/>
      <c r="I10" s="45" t="s">
        <v>182</v>
      </c>
      <c r="J10" s="46">
        <v>700000</v>
      </c>
      <c r="K10" s="47" t="s">
        <v>148</v>
      </c>
      <c r="L10" s="48" t="s">
        <v>123</v>
      </c>
      <c r="M10" s="47">
        <v>12</v>
      </c>
      <c r="N10" s="47" t="s">
        <v>131</v>
      </c>
      <c r="O10" s="47" t="s">
        <v>138</v>
      </c>
      <c r="P10" s="46">
        <f t="shared" ref="P10:P17" si="0">SUM(J10*M10)</f>
        <v>8400000</v>
      </c>
      <c r="Q10" s="49" t="s">
        <v>148</v>
      </c>
    </row>
    <row r="11" spans="1:17" s="30" customFormat="1" ht="17.100000000000001" customHeight="1">
      <c r="A11" s="39"/>
      <c r="B11" s="336"/>
      <c r="C11" s="427"/>
      <c r="D11" s="413"/>
      <c r="E11" s="416"/>
      <c r="F11" s="50"/>
      <c r="G11" s="475"/>
      <c r="H11" s="477"/>
      <c r="I11" s="51" t="s">
        <v>384</v>
      </c>
      <c r="J11" s="46">
        <v>420000</v>
      </c>
      <c r="K11" s="47" t="s">
        <v>148</v>
      </c>
      <c r="L11" s="48" t="s">
        <v>123</v>
      </c>
      <c r="M11" s="47">
        <v>12</v>
      </c>
      <c r="N11" s="47" t="s">
        <v>131</v>
      </c>
      <c r="O11" s="47" t="s">
        <v>138</v>
      </c>
      <c r="P11" s="46">
        <f t="shared" si="0"/>
        <v>5040000</v>
      </c>
      <c r="Q11" s="49" t="s">
        <v>148</v>
      </c>
    </row>
    <row r="12" spans="1:17" s="30" customFormat="1" ht="17.100000000000001" customHeight="1">
      <c r="A12" s="39"/>
      <c r="B12" s="336"/>
      <c r="C12" s="427"/>
      <c r="D12" s="413"/>
      <c r="E12" s="416"/>
      <c r="F12" s="44"/>
      <c r="G12" s="475"/>
      <c r="H12" s="477"/>
      <c r="I12" s="51" t="s">
        <v>453</v>
      </c>
      <c r="J12" s="46">
        <v>0</v>
      </c>
      <c r="K12" s="47" t="s">
        <v>148</v>
      </c>
      <c r="L12" s="48" t="s">
        <v>123</v>
      </c>
      <c r="M12" s="47">
        <v>8</v>
      </c>
      <c r="N12" s="47" t="s">
        <v>131</v>
      </c>
      <c r="O12" s="47" t="s">
        <v>138</v>
      </c>
      <c r="P12" s="46">
        <f t="shared" si="0"/>
        <v>0</v>
      </c>
      <c r="Q12" s="49" t="s">
        <v>148</v>
      </c>
    </row>
    <row r="13" spans="1:17" s="30" customFormat="1" ht="17.100000000000001" customHeight="1">
      <c r="A13" s="39"/>
      <c r="B13" s="336"/>
      <c r="C13" s="427"/>
      <c r="D13" s="413"/>
      <c r="E13" s="416"/>
      <c r="F13" s="44"/>
      <c r="G13" s="475"/>
      <c r="H13" s="477"/>
      <c r="I13" s="51" t="s">
        <v>62</v>
      </c>
      <c r="J13" s="46">
        <v>2100000</v>
      </c>
      <c r="K13" s="47" t="s">
        <v>148</v>
      </c>
      <c r="L13" s="48" t="s">
        <v>123</v>
      </c>
      <c r="M13" s="47">
        <v>12</v>
      </c>
      <c r="N13" s="47" t="s">
        <v>131</v>
      </c>
      <c r="O13" s="47" t="s">
        <v>138</v>
      </c>
      <c r="P13" s="46">
        <f t="shared" si="0"/>
        <v>25200000</v>
      </c>
      <c r="Q13" s="49" t="s">
        <v>148</v>
      </c>
    </row>
    <row r="14" spans="1:17" s="30" customFormat="1" ht="17.100000000000001" customHeight="1">
      <c r="A14" s="39"/>
      <c r="B14" s="336"/>
      <c r="C14" s="427"/>
      <c r="D14" s="413"/>
      <c r="E14" s="416"/>
      <c r="F14" s="44"/>
      <c r="G14" s="475"/>
      <c r="H14" s="477"/>
      <c r="I14" s="51" t="s">
        <v>19</v>
      </c>
      <c r="J14" s="46">
        <v>1300000</v>
      </c>
      <c r="K14" s="47" t="s">
        <v>148</v>
      </c>
      <c r="L14" s="48" t="s">
        <v>123</v>
      </c>
      <c r="M14" s="47">
        <v>12</v>
      </c>
      <c r="N14" s="47" t="s">
        <v>131</v>
      </c>
      <c r="O14" s="47" t="s">
        <v>138</v>
      </c>
      <c r="P14" s="46">
        <f t="shared" si="0"/>
        <v>15600000</v>
      </c>
      <c r="Q14" s="49" t="s">
        <v>148</v>
      </c>
    </row>
    <row r="15" spans="1:17" s="30" customFormat="1" ht="17.100000000000001" customHeight="1">
      <c r="A15" s="39"/>
      <c r="B15" s="336"/>
      <c r="C15" s="427"/>
      <c r="D15" s="413"/>
      <c r="E15" s="416"/>
      <c r="F15" s="44"/>
      <c r="G15" s="475"/>
      <c r="H15" s="477"/>
      <c r="I15" s="51" t="s">
        <v>75</v>
      </c>
      <c r="J15" s="46">
        <v>100000</v>
      </c>
      <c r="K15" s="47" t="s">
        <v>148</v>
      </c>
      <c r="L15" s="48" t="s">
        <v>123</v>
      </c>
      <c r="M15" s="47">
        <v>12</v>
      </c>
      <c r="N15" s="47" t="s">
        <v>131</v>
      </c>
      <c r="O15" s="47" t="s">
        <v>138</v>
      </c>
      <c r="P15" s="46">
        <f>SUM(J15*M15)</f>
        <v>1200000</v>
      </c>
      <c r="Q15" s="49" t="s">
        <v>148</v>
      </c>
    </row>
    <row r="16" spans="1:17" s="30" customFormat="1" ht="17.100000000000001" customHeight="1">
      <c r="A16" s="39"/>
      <c r="B16" s="336"/>
      <c r="C16" s="427"/>
      <c r="D16" s="413"/>
      <c r="E16" s="416"/>
      <c r="F16" s="44"/>
      <c r="G16" s="475"/>
      <c r="H16" s="477"/>
      <c r="I16" s="51" t="s">
        <v>452</v>
      </c>
      <c r="J16" s="46">
        <v>2272727</v>
      </c>
      <c r="K16" s="47" t="s">
        <v>148</v>
      </c>
      <c r="L16" s="48" t="s">
        <v>123</v>
      </c>
      <c r="M16" s="47">
        <v>9</v>
      </c>
      <c r="N16" s="47" t="s">
        <v>447</v>
      </c>
      <c r="O16" s="47" t="s">
        <v>138</v>
      </c>
      <c r="P16" s="46">
        <f>SUM(J16*M16)</f>
        <v>20454543</v>
      </c>
      <c r="Q16" s="49" t="s">
        <v>148</v>
      </c>
    </row>
    <row r="17" spans="1:17" s="30" customFormat="1" ht="17.100000000000001" customHeight="1">
      <c r="A17" s="39"/>
      <c r="B17" s="336"/>
      <c r="C17" s="428"/>
      <c r="D17" s="414"/>
      <c r="E17" s="417"/>
      <c r="F17" s="44"/>
      <c r="G17" s="470"/>
      <c r="H17" s="478"/>
      <c r="I17" s="51" t="s">
        <v>390</v>
      </c>
      <c r="J17" s="52">
        <v>750000</v>
      </c>
      <c r="K17" s="47" t="s">
        <v>148</v>
      </c>
      <c r="L17" s="48" t="s">
        <v>123</v>
      </c>
      <c r="M17" s="47">
        <v>2</v>
      </c>
      <c r="N17" s="47" t="s">
        <v>126</v>
      </c>
      <c r="O17" s="47" t="s">
        <v>138</v>
      </c>
      <c r="P17" s="46">
        <f t="shared" si="0"/>
        <v>1500000</v>
      </c>
      <c r="Q17" s="49" t="s">
        <v>148</v>
      </c>
    </row>
    <row r="18" spans="1:17" s="30" customFormat="1" ht="17.100000000000001" hidden="1" customHeight="1">
      <c r="A18" s="39"/>
      <c r="B18" s="336"/>
      <c r="C18" s="426" t="s">
        <v>292</v>
      </c>
      <c r="D18" s="469">
        <v>0</v>
      </c>
      <c r="E18" s="469">
        <f>(P18/1000)</f>
        <v>0</v>
      </c>
      <c r="F18" s="50"/>
      <c r="G18" s="407">
        <f>E18-D18</f>
        <v>0</v>
      </c>
      <c r="H18" s="419">
        <v>0</v>
      </c>
      <c r="I18" s="42"/>
      <c r="J18" s="43"/>
      <c r="K18" s="332"/>
      <c r="L18" s="53"/>
      <c r="M18" s="425" t="s">
        <v>162</v>
      </c>
      <c r="N18" s="425"/>
      <c r="O18" s="425"/>
      <c r="P18" s="54">
        <f>SUM(P19:P19)</f>
        <v>0</v>
      </c>
      <c r="Q18" s="38" t="s">
        <v>148</v>
      </c>
    </row>
    <row r="19" spans="1:17" s="30" customFormat="1" ht="17.100000000000001" hidden="1" customHeight="1">
      <c r="A19" s="39"/>
      <c r="B19" s="336"/>
      <c r="C19" s="427"/>
      <c r="D19" s="475"/>
      <c r="E19" s="470"/>
      <c r="F19" s="50"/>
      <c r="G19" s="408"/>
      <c r="H19" s="420"/>
      <c r="I19" s="51" t="s">
        <v>27</v>
      </c>
      <c r="J19" s="31">
        <v>0</v>
      </c>
      <c r="K19" s="47" t="s">
        <v>148</v>
      </c>
      <c r="L19" s="48" t="s">
        <v>123</v>
      </c>
      <c r="M19" s="47">
        <v>1</v>
      </c>
      <c r="N19" s="47" t="s">
        <v>126</v>
      </c>
      <c r="O19" s="55" t="s">
        <v>140</v>
      </c>
      <c r="P19" s="46">
        <f>J19*M19</f>
        <v>0</v>
      </c>
      <c r="Q19" s="49" t="s">
        <v>148</v>
      </c>
    </row>
    <row r="20" spans="1:17" s="30" customFormat="1" ht="17.100000000000001" customHeight="1">
      <c r="A20" s="39"/>
      <c r="B20" s="336"/>
      <c r="C20" s="448" t="s">
        <v>95</v>
      </c>
      <c r="D20" s="412">
        <v>25101</v>
      </c>
      <c r="E20" s="415">
        <f>+P20/1000</f>
        <v>53342.764999999999</v>
      </c>
      <c r="F20" s="409">
        <v>71084</v>
      </c>
      <c r="G20" s="407">
        <f>+E20-D20</f>
        <v>28241.764999999999</v>
      </c>
      <c r="H20" s="419">
        <f>+G20/D20*100</f>
        <v>112.51250946177443</v>
      </c>
      <c r="I20" s="42"/>
      <c r="J20" s="43"/>
      <c r="K20" s="332"/>
      <c r="L20" s="332"/>
      <c r="M20" s="425" t="s">
        <v>162</v>
      </c>
      <c r="N20" s="425"/>
      <c r="O20" s="425"/>
      <c r="P20" s="43">
        <f>SUM(P21:P24)</f>
        <v>53342765</v>
      </c>
      <c r="Q20" s="38" t="s">
        <v>148</v>
      </c>
    </row>
    <row r="21" spans="1:17" s="30" customFormat="1" ht="17.100000000000001" customHeight="1">
      <c r="A21" s="39"/>
      <c r="B21" s="336"/>
      <c r="C21" s="449"/>
      <c r="D21" s="413"/>
      <c r="E21" s="416"/>
      <c r="F21" s="410"/>
      <c r="G21" s="408"/>
      <c r="H21" s="420"/>
      <c r="I21" s="51" t="s">
        <v>378</v>
      </c>
      <c r="J21" s="46">
        <v>4700000</v>
      </c>
      <c r="K21" s="47" t="s">
        <v>148</v>
      </c>
      <c r="L21" s="48" t="s">
        <v>123</v>
      </c>
      <c r="M21" s="47">
        <v>1</v>
      </c>
      <c r="N21" s="47" t="s">
        <v>126</v>
      </c>
      <c r="O21" s="55" t="s">
        <v>138</v>
      </c>
      <c r="P21" s="46">
        <f>J21*M21</f>
        <v>4700000</v>
      </c>
      <c r="Q21" s="49" t="s">
        <v>148</v>
      </c>
    </row>
    <row r="22" spans="1:17" s="30" customFormat="1" ht="17.100000000000001" customHeight="1">
      <c r="A22" s="39"/>
      <c r="B22" s="336"/>
      <c r="C22" s="449"/>
      <c r="D22" s="413"/>
      <c r="E22" s="416"/>
      <c r="F22" s="410"/>
      <c r="G22" s="408"/>
      <c r="H22" s="420"/>
      <c r="I22" s="51" t="s">
        <v>451</v>
      </c>
      <c r="J22" s="46">
        <v>28241765</v>
      </c>
      <c r="K22" s="47" t="s">
        <v>148</v>
      </c>
      <c r="L22" s="48" t="s">
        <v>123</v>
      </c>
      <c r="M22" s="47">
        <v>1</v>
      </c>
      <c r="N22" s="47" t="s">
        <v>126</v>
      </c>
      <c r="O22" s="55" t="s">
        <v>138</v>
      </c>
      <c r="P22" s="46">
        <f>J22*M22</f>
        <v>28241765</v>
      </c>
      <c r="Q22" s="49" t="s">
        <v>148</v>
      </c>
    </row>
    <row r="23" spans="1:17" s="30" customFormat="1" ht="17.100000000000001" customHeight="1">
      <c r="A23" s="39"/>
      <c r="B23" s="336"/>
      <c r="C23" s="449"/>
      <c r="D23" s="413"/>
      <c r="E23" s="416"/>
      <c r="F23" s="410"/>
      <c r="G23" s="408"/>
      <c r="H23" s="420"/>
      <c r="I23" s="45" t="s">
        <v>395</v>
      </c>
      <c r="J23" s="46">
        <v>1774200</v>
      </c>
      <c r="K23" s="47" t="s">
        <v>148</v>
      </c>
      <c r="L23" s="48" t="s">
        <v>123</v>
      </c>
      <c r="M23" s="47">
        <v>5</v>
      </c>
      <c r="N23" s="47" t="s">
        <v>126</v>
      </c>
      <c r="O23" s="55" t="s">
        <v>138</v>
      </c>
      <c r="P23" s="46">
        <f>J23*M23</f>
        <v>8871000</v>
      </c>
      <c r="Q23" s="49" t="s">
        <v>148</v>
      </c>
    </row>
    <row r="24" spans="1:17" s="30" customFormat="1" ht="17.100000000000001" customHeight="1">
      <c r="A24" s="39"/>
      <c r="B24" s="336"/>
      <c r="C24" s="449"/>
      <c r="D24" s="413"/>
      <c r="E24" s="416"/>
      <c r="F24" s="410"/>
      <c r="G24" s="408"/>
      <c r="H24" s="420"/>
      <c r="I24" s="51" t="s">
        <v>376</v>
      </c>
      <c r="J24" s="46">
        <v>2882500</v>
      </c>
      <c r="K24" s="47" t="s">
        <v>148</v>
      </c>
      <c r="L24" s="48" t="s">
        <v>123</v>
      </c>
      <c r="M24" s="47">
        <v>4</v>
      </c>
      <c r="N24" s="47" t="s">
        <v>126</v>
      </c>
      <c r="O24" s="55" t="s">
        <v>138</v>
      </c>
      <c r="P24" s="46">
        <f>J24*M24</f>
        <v>11530000</v>
      </c>
      <c r="Q24" s="49" t="s">
        <v>148</v>
      </c>
    </row>
    <row r="25" spans="1:17" s="30" customFormat="1" ht="17.100000000000001" customHeight="1">
      <c r="A25" s="39"/>
      <c r="B25" s="336"/>
      <c r="C25" s="426" t="s">
        <v>235</v>
      </c>
      <c r="D25" s="412">
        <v>210</v>
      </c>
      <c r="E25" s="469">
        <f>(P25/1000)</f>
        <v>255</v>
      </c>
      <c r="F25" s="50"/>
      <c r="G25" s="407">
        <f>E25-D25</f>
        <v>45</v>
      </c>
      <c r="H25" s="419">
        <v>0</v>
      </c>
      <c r="I25" s="42"/>
      <c r="J25" s="43"/>
      <c r="K25" s="332"/>
      <c r="L25" s="53"/>
      <c r="M25" s="425" t="s">
        <v>162</v>
      </c>
      <c r="N25" s="425"/>
      <c r="O25" s="425"/>
      <c r="P25" s="54">
        <f>SUM(P26:P26)</f>
        <v>255000</v>
      </c>
      <c r="Q25" s="38" t="s">
        <v>148</v>
      </c>
    </row>
    <row r="26" spans="1:17" s="30" customFormat="1" ht="17.100000000000001" customHeight="1">
      <c r="A26" s="39"/>
      <c r="B26" s="336"/>
      <c r="C26" s="427"/>
      <c r="D26" s="413"/>
      <c r="E26" s="470"/>
      <c r="F26" s="50"/>
      <c r="G26" s="408"/>
      <c r="H26" s="420"/>
      <c r="I26" s="51" t="s">
        <v>401</v>
      </c>
      <c r="J26" s="31">
        <v>255000</v>
      </c>
      <c r="K26" s="47" t="s">
        <v>148</v>
      </c>
      <c r="L26" s="48" t="s">
        <v>123</v>
      </c>
      <c r="M26" s="47">
        <v>1</v>
      </c>
      <c r="N26" s="47" t="s">
        <v>126</v>
      </c>
      <c r="O26" s="55" t="s">
        <v>140</v>
      </c>
      <c r="P26" s="46">
        <f>J26*M26</f>
        <v>255000</v>
      </c>
      <c r="Q26" s="49" t="s">
        <v>148</v>
      </c>
    </row>
    <row r="27" spans="1:17" s="30" customFormat="1" ht="18.95" customHeight="1">
      <c r="A27" s="56" t="s">
        <v>302</v>
      </c>
      <c r="B27" s="429" t="s">
        <v>168</v>
      </c>
      <c r="C27" s="430"/>
      <c r="D27" s="57">
        <f>SUM(D28)</f>
        <v>2800</v>
      </c>
      <c r="E27" s="58">
        <f>SUM(E28)</f>
        <v>2800</v>
      </c>
      <c r="F27" s="59">
        <f>SUM(F28)</f>
        <v>12766566</v>
      </c>
      <c r="G27" s="60">
        <f>+E27-D27</f>
        <v>0</v>
      </c>
      <c r="H27" s="61">
        <f>+G27/D27*100</f>
        <v>0</v>
      </c>
      <c r="I27" s="62"/>
      <c r="J27" s="62"/>
      <c r="K27" s="339"/>
      <c r="L27" s="339"/>
      <c r="M27" s="62"/>
      <c r="N27" s="62"/>
      <c r="O27" s="62"/>
      <c r="P27" s="63">
        <f>P28</f>
        <v>2800000</v>
      </c>
      <c r="Q27" s="64" t="s">
        <v>148</v>
      </c>
    </row>
    <row r="28" spans="1:17" s="30" customFormat="1" ht="17.100000000000001" customHeight="1">
      <c r="A28" s="39"/>
      <c r="B28" s="40" t="s">
        <v>302</v>
      </c>
      <c r="C28" s="334" t="s">
        <v>169</v>
      </c>
      <c r="D28" s="325">
        <f>SUM(D29)</f>
        <v>2800</v>
      </c>
      <c r="E28" s="328">
        <f>SUM(E29)</f>
        <v>2800</v>
      </c>
      <c r="F28" s="65">
        <f>SUM(F29:F94)</f>
        <v>12766566</v>
      </c>
      <c r="G28" s="329">
        <f>+E28-D28</f>
        <v>0</v>
      </c>
      <c r="H28" s="340">
        <f>+G28/D28*100</f>
        <v>0</v>
      </c>
      <c r="K28" s="47"/>
      <c r="L28" s="47"/>
      <c r="P28" s="66">
        <f>P29</f>
        <v>2800000</v>
      </c>
      <c r="Q28" s="49" t="s">
        <v>148</v>
      </c>
    </row>
    <row r="29" spans="1:17" s="30" customFormat="1" ht="17.100000000000001" customHeight="1">
      <c r="A29" s="39"/>
      <c r="B29" s="336"/>
      <c r="C29" s="435" t="s">
        <v>225</v>
      </c>
      <c r="D29" s="412">
        <v>2800</v>
      </c>
      <c r="E29" s="412">
        <f>P28/1000</f>
        <v>2800</v>
      </c>
      <c r="F29" s="409">
        <v>10450</v>
      </c>
      <c r="G29" s="407">
        <f>+E29-D29</f>
        <v>0</v>
      </c>
      <c r="H29" s="419">
        <f>+G29/D29*100</f>
        <v>0</v>
      </c>
      <c r="I29" s="455"/>
      <c r="J29" s="456"/>
      <c r="K29" s="332"/>
      <c r="L29" s="332"/>
      <c r="M29" s="467" t="s">
        <v>162</v>
      </c>
      <c r="N29" s="467"/>
      <c r="O29" s="467"/>
      <c r="P29" s="37">
        <f>SUM(P30:P32)</f>
        <v>2800000</v>
      </c>
      <c r="Q29" s="38" t="s">
        <v>148</v>
      </c>
    </row>
    <row r="30" spans="1:17" s="30" customFormat="1" ht="17.100000000000001" customHeight="1">
      <c r="A30" s="20"/>
      <c r="B30" s="336"/>
      <c r="C30" s="436"/>
      <c r="D30" s="413"/>
      <c r="E30" s="413"/>
      <c r="F30" s="410"/>
      <c r="G30" s="408"/>
      <c r="H30" s="420"/>
      <c r="I30" s="45" t="s">
        <v>57</v>
      </c>
      <c r="J30" s="46">
        <v>30000</v>
      </c>
      <c r="K30" s="47" t="s">
        <v>148</v>
      </c>
      <c r="L30" s="48" t="s">
        <v>123</v>
      </c>
      <c r="M30" s="67">
        <v>40</v>
      </c>
      <c r="N30" s="47" t="s">
        <v>146</v>
      </c>
      <c r="O30" s="55" t="s">
        <v>138</v>
      </c>
      <c r="P30" s="46">
        <f>J30*M30</f>
        <v>1200000</v>
      </c>
      <c r="Q30" s="49" t="s">
        <v>148</v>
      </c>
    </row>
    <row r="31" spans="1:17" s="30" customFormat="1" ht="17.100000000000001" customHeight="1">
      <c r="A31" s="39"/>
      <c r="B31" s="336"/>
      <c r="C31" s="436"/>
      <c r="D31" s="413"/>
      <c r="E31" s="413"/>
      <c r="F31" s="410"/>
      <c r="G31" s="408"/>
      <c r="H31" s="420"/>
      <c r="I31" s="45" t="s">
        <v>325</v>
      </c>
      <c r="J31" s="46">
        <v>40000</v>
      </c>
      <c r="K31" s="47" t="s">
        <v>148</v>
      </c>
      <c r="L31" s="48" t="s">
        <v>123</v>
      </c>
      <c r="M31" s="67">
        <v>30</v>
      </c>
      <c r="N31" s="47" t="s">
        <v>146</v>
      </c>
      <c r="O31" s="55" t="s">
        <v>138</v>
      </c>
      <c r="P31" s="46">
        <f>J31*M31</f>
        <v>1200000</v>
      </c>
      <c r="Q31" s="49" t="s">
        <v>148</v>
      </c>
    </row>
    <row r="32" spans="1:17" s="30" customFormat="1" ht="17.100000000000001" customHeight="1">
      <c r="A32" s="68"/>
      <c r="B32" s="69"/>
      <c r="C32" s="437"/>
      <c r="D32" s="414"/>
      <c r="E32" s="414"/>
      <c r="F32" s="411"/>
      <c r="G32" s="418"/>
      <c r="H32" s="421"/>
      <c r="I32" s="70" t="s">
        <v>407</v>
      </c>
      <c r="J32" s="71">
        <v>10000</v>
      </c>
      <c r="K32" s="383" t="s">
        <v>148</v>
      </c>
      <c r="L32" s="72" t="s">
        <v>123</v>
      </c>
      <c r="M32" s="383">
        <v>40</v>
      </c>
      <c r="N32" s="383" t="s">
        <v>146</v>
      </c>
      <c r="O32" s="73" t="s">
        <v>138</v>
      </c>
      <c r="P32" s="71">
        <f>J32*M32</f>
        <v>400000</v>
      </c>
      <c r="Q32" s="74" t="s">
        <v>148</v>
      </c>
    </row>
    <row r="33" spans="1:17" s="30" customFormat="1" ht="18.95" hidden="1" customHeight="1">
      <c r="A33" s="56" t="s">
        <v>224</v>
      </c>
      <c r="B33" s="429" t="s">
        <v>168</v>
      </c>
      <c r="C33" s="430"/>
      <c r="D33" s="57">
        <f t="shared" ref="D33:F34" si="1">SUM(D34)</f>
        <v>0</v>
      </c>
      <c r="E33" s="75">
        <f t="shared" si="1"/>
        <v>0</v>
      </c>
      <c r="F33" s="76">
        <f t="shared" si="1"/>
        <v>56700</v>
      </c>
      <c r="G33" s="77">
        <f>+E33-D33</f>
        <v>0</v>
      </c>
      <c r="H33" s="61" t="e">
        <f>+G33/D33*100</f>
        <v>#DIV/0!</v>
      </c>
      <c r="I33" s="78"/>
      <c r="J33" s="78"/>
      <c r="K33" s="79"/>
      <c r="L33" s="79"/>
      <c r="M33" s="78"/>
      <c r="N33" s="78"/>
      <c r="O33" s="78"/>
      <c r="P33" s="63">
        <f>P34</f>
        <v>0</v>
      </c>
      <c r="Q33" s="64" t="s">
        <v>148</v>
      </c>
    </row>
    <row r="34" spans="1:17" s="30" customFormat="1" ht="17.100000000000001" hidden="1" customHeight="1">
      <c r="A34" s="39"/>
      <c r="B34" s="40" t="s">
        <v>224</v>
      </c>
      <c r="C34" s="335" t="s">
        <v>169</v>
      </c>
      <c r="D34" s="80">
        <f>D35</f>
        <v>0</v>
      </c>
      <c r="E34" s="81">
        <f t="shared" si="1"/>
        <v>0</v>
      </c>
      <c r="F34" s="82">
        <f t="shared" si="1"/>
        <v>56700</v>
      </c>
      <c r="G34" s="83">
        <f>+E34-D34</f>
        <v>0</v>
      </c>
      <c r="H34" s="340" t="e">
        <f>+G34/D34*100</f>
        <v>#DIV/0!</v>
      </c>
      <c r="I34" s="84"/>
      <c r="J34" s="62"/>
      <c r="K34" s="339"/>
      <c r="L34" s="339"/>
      <c r="M34" s="62"/>
      <c r="N34" s="62"/>
      <c r="O34" s="62"/>
      <c r="P34" s="85">
        <f>SUM(P35)</f>
        <v>0</v>
      </c>
      <c r="Q34" s="86" t="s">
        <v>148</v>
      </c>
    </row>
    <row r="35" spans="1:17" s="30" customFormat="1" ht="17.100000000000001" hidden="1" customHeight="1">
      <c r="A35" s="39"/>
      <c r="B35" s="334"/>
      <c r="C35" s="426" t="s">
        <v>239</v>
      </c>
      <c r="D35" s="412">
        <v>0</v>
      </c>
      <c r="E35" s="422">
        <f>+P35/1000</f>
        <v>0</v>
      </c>
      <c r="F35" s="459">
        <v>56700</v>
      </c>
      <c r="G35" s="471">
        <f>+E35-D35</f>
        <v>0</v>
      </c>
      <c r="H35" s="439" t="e">
        <f>+G35/D35*100</f>
        <v>#DIV/0!</v>
      </c>
      <c r="I35" s="87"/>
      <c r="K35" s="47"/>
      <c r="L35" s="47"/>
      <c r="M35" s="30" t="s">
        <v>162</v>
      </c>
      <c r="P35" s="66">
        <f>SUM(P36:P36)</f>
        <v>0</v>
      </c>
      <c r="Q35" s="49" t="s">
        <v>148</v>
      </c>
    </row>
    <row r="36" spans="1:17" s="30" customFormat="1" ht="17.100000000000001" hidden="1" customHeight="1">
      <c r="A36" s="39"/>
      <c r="B36" s="334"/>
      <c r="C36" s="427"/>
      <c r="D36" s="413"/>
      <c r="E36" s="423"/>
      <c r="F36" s="460"/>
      <c r="G36" s="471"/>
      <c r="H36" s="468"/>
      <c r="I36" s="51" t="s">
        <v>41</v>
      </c>
      <c r="J36" s="31">
        <v>0</v>
      </c>
      <c r="K36" s="47" t="s">
        <v>148</v>
      </c>
      <c r="L36" s="48" t="s">
        <v>123</v>
      </c>
      <c r="M36" s="47">
        <v>1</v>
      </c>
      <c r="N36" s="47" t="s">
        <v>126</v>
      </c>
      <c r="O36" s="47" t="s">
        <v>138</v>
      </c>
      <c r="P36" s="31">
        <f>+M36*J36</f>
        <v>0</v>
      </c>
      <c r="Q36" s="49" t="s">
        <v>148</v>
      </c>
    </row>
    <row r="37" spans="1:17" s="30" customFormat="1" ht="18.95" customHeight="1">
      <c r="A37" s="88" t="s">
        <v>128</v>
      </c>
      <c r="B37" s="430" t="s">
        <v>168</v>
      </c>
      <c r="C37" s="444"/>
      <c r="D37" s="57">
        <f>+D38+D55</f>
        <v>1722600</v>
      </c>
      <c r="E37" s="58">
        <f>+E38+E55</f>
        <v>1670940</v>
      </c>
      <c r="F37" s="59">
        <f>+F38+F55</f>
        <v>1336159</v>
      </c>
      <c r="G37" s="60">
        <f>E37-D37</f>
        <v>-51660</v>
      </c>
      <c r="H37" s="61">
        <f>+G37/D37*100</f>
        <v>-2.9989550679205852</v>
      </c>
      <c r="I37" s="62"/>
      <c r="J37" s="62"/>
      <c r="K37" s="62"/>
      <c r="L37" s="339"/>
      <c r="M37" s="62"/>
      <c r="N37" s="62"/>
      <c r="O37" s="62"/>
      <c r="P37" s="63">
        <f>SUM(P38,P55)</f>
        <v>1670940000</v>
      </c>
      <c r="Q37" s="64" t="s">
        <v>148</v>
      </c>
    </row>
    <row r="38" spans="1:17" s="30" customFormat="1" ht="17.100000000000001" customHeight="1">
      <c r="A38" s="39"/>
      <c r="B38" s="344" t="s">
        <v>134</v>
      </c>
      <c r="C38" s="334" t="s">
        <v>169</v>
      </c>
      <c r="D38" s="325">
        <f>SUM(D39:D51)</f>
        <v>1252920</v>
      </c>
      <c r="E38" s="327">
        <f>SUM(E39:E54)</f>
        <v>1201260</v>
      </c>
      <c r="F38" s="322">
        <f>SUM(F39:F51)</f>
        <v>711605</v>
      </c>
      <c r="G38" s="34">
        <f>E38-D38</f>
        <v>-51660</v>
      </c>
      <c r="H38" s="340">
        <f>+G38/D38*100</f>
        <v>-4.1231682789004891</v>
      </c>
      <c r="L38" s="47"/>
      <c r="P38" s="66">
        <f>SUM(P39,P41,P46,P50)</f>
        <v>1201260000</v>
      </c>
      <c r="Q38" s="49" t="s">
        <v>148</v>
      </c>
    </row>
    <row r="39" spans="1:17" s="30" customFormat="1" ht="17.100000000000001" customHeight="1">
      <c r="A39" s="39"/>
      <c r="B39" s="344" t="s">
        <v>128</v>
      </c>
      <c r="C39" s="448" t="s">
        <v>65</v>
      </c>
      <c r="D39" s="412">
        <v>147160</v>
      </c>
      <c r="E39" s="415">
        <f>P39/1000</f>
        <v>89500</v>
      </c>
      <c r="F39" s="409">
        <v>480000</v>
      </c>
      <c r="G39" s="407">
        <f>+E39-D39</f>
        <v>-57660</v>
      </c>
      <c r="H39" s="419">
        <f>+G39/D39*100</f>
        <v>-39.181842892090238</v>
      </c>
      <c r="I39" s="42"/>
      <c r="J39" s="43"/>
      <c r="K39" s="89"/>
      <c r="L39" s="332"/>
      <c r="M39" s="332" t="s">
        <v>162</v>
      </c>
      <c r="N39" s="332"/>
      <c r="O39" s="332"/>
      <c r="P39" s="43">
        <f>SUM(P40:P40)</f>
        <v>89500000</v>
      </c>
      <c r="Q39" s="38" t="s">
        <v>148</v>
      </c>
    </row>
    <row r="40" spans="1:17" s="30" customFormat="1" ht="17.100000000000001" customHeight="1">
      <c r="A40" s="39"/>
      <c r="B40" s="336"/>
      <c r="C40" s="427"/>
      <c r="D40" s="413"/>
      <c r="E40" s="416"/>
      <c r="F40" s="411"/>
      <c r="G40" s="408"/>
      <c r="H40" s="420"/>
      <c r="I40" s="51" t="s">
        <v>202</v>
      </c>
      <c r="J40" s="385">
        <v>44750000</v>
      </c>
      <c r="K40" s="47" t="s">
        <v>148</v>
      </c>
      <c r="L40" s="48" t="s">
        <v>123</v>
      </c>
      <c r="M40" s="47">
        <v>2</v>
      </c>
      <c r="N40" s="47" t="s">
        <v>126</v>
      </c>
      <c r="O40" s="55" t="s">
        <v>138</v>
      </c>
      <c r="P40" s="46">
        <f>SUM(J40*M40)</f>
        <v>89500000</v>
      </c>
      <c r="Q40" s="49" t="s">
        <v>148</v>
      </c>
    </row>
    <row r="41" spans="1:17" s="30" customFormat="1" ht="17.100000000000001" customHeight="1">
      <c r="A41" s="39"/>
      <c r="B41" s="336"/>
      <c r="C41" s="448" t="s">
        <v>54</v>
      </c>
      <c r="D41" s="412">
        <v>52392</v>
      </c>
      <c r="E41" s="415">
        <f>P41/1000</f>
        <v>52392</v>
      </c>
      <c r="F41" s="409">
        <v>79390</v>
      </c>
      <c r="G41" s="407">
        <f>+E41-D41</f>
        <v>0</v>
      </c>
      <c r="H41" s="419">
        <f>+G41/D41*100</f>
        <v>0</v>
      </c>
      <c r="I41" s="90"/>
      <c r="J41" s="43"/>
      <c r="K41" s="332"/>
      <c r="L41" s="332"/>
      <c r="M41" s="425" t="s">
        <v>162</v>
      </c>
      <c r="N41" s="425"/>
      <c r="O41" s="425"/>
      <c r="P41" s="43">
        <f>SUM(P42:P45)</f>
        <v>52392000</v>
      </c>
      <c r="Q41" s="38" t="s">
        <v>148</v>
      </c>
    </row>
    <row r="42" spans="1:17" s="30" customFormat="1" ht="17.100000000000001" customHeight="1">
      <c r="A42" s="39"/>
      <c r="B42" s="336"/>
      <c r="C42" s="427"/>
      <c r="D42" s="413"/>
      <c r="E42" s="416"/>
      <c r="F42" s="410"/>
      <c r="G42" s="408"/>
      <c r="H42" s="420"/>
      <c r="I42" s="91" t="s">
        <v>3</v>
      </c>
      <c r="J42" s="92">
        <v>3000000</v>
      </c>
      <c r="K42" s="93" t="s">
        <v>148</v>
      </c>
      <c r="L42" s="94" t="s">
        <v>123</v>
      </c>
      <c r="M42" s="93">
        <v>12</v>
      </c>
      <c r="N42" s="93" t="s">
        <v>131</v>
      </c>
      <c r="O42" s="95" t="s">
        <v>138</v>
      </c>
      <c r="P42" s="92">
        <f>SUM(J42*M42)</f>
        <v>36000000</v>
      </c>
      <c r="Q42" s="96" t="s">
        <v>148</v>
      </c>
    </row>
    <row r="43" spans="1:17" s="30" customFormat="1" ht="17.100000000000001" customHeight="1">
      <c r="A43" s="39"/>
      <c r="B43" s="336"/>
      <c r="C43" s="427"/>
      <c r="D43" s="413"/>
      <c r="E43" s="416"/>
      <c r="F43" s="322"/>
      <c r="G43" s="408"/>
      <c r="H43" s="420"/>
      <c r="I43" s="45" t="s">
        <v>371</v>
      </c>
      <c r="J43" s="46">
        <v>746000</v>
      </c>
      <c r="K43" s="47" t="s">
        <v>148</v>
      </c>
      <c r="L43" s="48" t="s">
        <v>123</v>
      </c>
      <c r="M43" s="47">
        <v>12</v>
      </c>
      <c r="N43" s="47" t="s">
        <v>131</v>
      </c>
      <c r="O43" s="55" t="s">
        <v>138</v>
      </c>
      <c r="P43" s="46">
        <f>SUM(J43*M43)</f>
        <v>8952000</v>
      </c>
      <c r="Q43" s="49" t="s">
        <v>148</v>
      </c>
    </row>
    <row r="44" spans="1:17" s="30" customFormat="1" ht="17.100000000000001" customHeight="1">
      <c r="A44" s="39"/>
      <c r="B44" s="336"/>
      <c r="C44" s="427"/>
      <c r="D44" s="413"/>
      <c r="E44" s="416"/>
      <c r="F44" s="322"/>
      <c r="G44" s="408"/>
      <c r="H44" s="420"/>
      <c r="I44" s="51" t="s">
        <v>399</v>
      </c>
      <c r="J44" s="46">
        <v>600000</v>
      </c>
      <c r="K44" s="47" t="s">
        <v>148</v>
      </c>
      <c r="L44" s="48" t="s">
        <v>123</v>
      </c>
      <c r="M44" s="47">
        <v>12</v>
      </c>
      <c r="N44" s="47" t="s">
        <v>131</v>
      </c>
      <c r="O44" s="55" t="s">
        <v>138</v>
      </c>
      <c r="P44" s="46">
        <f>SUM(J44*M44)</f>
        <v>7200000</v>
      </c>
      <c r="Q44" s="49" t="s">
        <v>148</v>
      </c>
    </row>
    <row r="45" spans="1:17" s="30" customFormat="1" ht="17.100000000000001" customHeight="1">
      <c r="A45" s="39"/>
      <c r="B45" s="336"/>
      <c r="C45" s="428"/>
      <c r="D45" s="414"/>
      <c r="E45" s="417"/>
      <c r="F45" s="323"/>
      <c r="G45" s="418"/>
      <c r="H45" s="421"/>
      <c r="I45" s="70" t="s">
        <v>373</v>
      </c>
      <c r="J45" s="71">
        <v>20000</v>
      </c>
      <c r="K45" s="383" t="s">
        <v>148</v>
      </c>
      <c r="L45" s="72" t="s">
        <v>123</v>
      </c>
      <c r="M45" s="383">
        <v>12</v>
      </c>
      <c r="N45" s="383" t="s">
        <v>126</v>
      </c>
      <c r="O45" s="73" t="s">
        <v>138</v>
      </c>
      <c r="P45" s="71">
        <f>SUM(J45*M45)</f>
        <v>240000</v>
      </c>
      <c r="Q45" s="74" t="s">
        <v>148</v>
      </c>
    </row>
    <row r="46" spans="1:17" s="30" customFormat="1" ht="17.100000000000001" customHeight="1">
      <c r="A46" s="39"/>
      <c r="B46" s="336"/>
      <c r="C46" s="435" t="s">
        <v>188</v>
      </c>
      <c r="D46" s="412">
        <v>170000</v>
      </c>
      <c r="E46" s="412">
        <f>+P46/1000</f>
        <v>176000</v>
      </c>
      <c r="F46" s="409">
        <v>90435</v>
      </c>
      <c r="G46" s="407">
        <f>+E46-D46</f>
        <v>6000</v>
      </c>
      <c r="H46" s="419">
        <f>+G46/D46*100</f>
        <v>3.5294117647058822</v>
      </c>
      <c r="I46" s="42"/>
      <c r="J46" s="54"/>
      <c r="K46" s="332"/>
      <c r="L46" s="332"/>
      <c r="M46" s="425" t="s">
        <v>162</v>
      </c>
      <c r="N46" s="425"/>
      <c r="O46" s="425"/>
      <c r="P46" s="54">
        <f>SUM(P47:P49)</f>
        <v>176000000</v>
      </c>
      <c r="Q46" s="38" t="s">
        <v>148</v>
      </c>
    </row>
    <row r="47" spans="1:17" s="30" customFormat="1" ht="17.100000000000001" customHeight="1">
      <c r="A47" s="39"/>
      <c r="B47" s="336"/>
      <c r="C47" s="436"/>
      <c r="D47" s="413"/>
      <c r="E47" s="413"/>
      <c r="F47" s="410"/>
      <c r="G47" s="408"/>
      <c r="H47" s="420"/>
      <c r="I47" s="51" t="s">
        <v>99</v>
      </c>
      <c r="J47" s="46">
        <v>5000000</v>
      </c>
      <c r="K47" s="47" t="s">
        <v>148</v>
      </c>
      <c r="L47" s="48" t="s">
        <v>123</v>
      </c>
      <c r="M47" s="47">
        <v>12</v>
      </c>
      <c r="N47" s="47" t="s">
        <v>131</v>
      </c>
      <c r="O47" s="55" t="s">
        <v>138</v>
      </c>
      <c r="P47" s="46">
        <f>SUM(J47*M47)</f>
        <v>60000000</v>
      </c>
      <c r="Q47" s="49" t="s">
        <v>148</v>
      </c>
    </row>
    <row r="48" spans="1:17" s="30" customFormat="1" ht="17.100000000000001" customHeight="1">
      <c r="A48" s="39"/>
      <c r="B48" s="336"/>
      <c r="C48" s="436"/>
      <c r="D48" s="413"/>
      <c r="E48" s="413"/>
      <c r="F48" s="322"/>
      <c r="G48" s="408"/>
      <c r="H48" s="420"/>
      <c r="I48" s="51" t="s">
        <v>402</v>
      </c>
      <c r="J48" s="46">
        <v>10000000</v>
      </c>
      <c r="K48" s="47" t="s">
        <v>148</v>
      </c>
      <c r="L48" s="48" t="s">
        <v>123</v>
      </c>
      <c r="M48" s="47">
        <v>2</v>
      </c>
      <c r="N48" s="47" t="s">
        <v>126</v>
      </c>
      <c r="O48" s="55" t="s">
        <v>140</v>
      </c>
      <c r="P48" s="46">
        <f>SUM(J48*M48)</f>
        <v>20000000</v>
      </c>
      <c r="Q48" s="49" t="s">
        <v>148</v>
      </c>
    </row>
    <row r="49" spans="1:17" s="30" customFormat="1" ht="17.100000000000001" customHeight="1">
      <c r="A49" s="39"/>
      <c r="B49" s="336"/>
      <c r="C49" s="437"/>
      <c r="D49" s="414"/>
      <c r="E49" s="414"/>
      <c r="F49" s="322"/>
      <c r="G49" s="418"/>
      <c r="H49" s="421"/>
      <c r="I49" s="51" t="s">
        <v>454</v>
      </c>
      <c r="J49" s="46">
        <v>8000000</v>
      </c>
      <c r="K49" s="47" t="s">
        <v>148</v>
      </c>
      <c r="L49" s="48" t="s">
        <v>123</v>
      </c>
      <c r="M49" s="47">
        <v>12</v>
      </c>
      <c r="N49" s="47" t="s">
        <v>126</v>
      </c>
      <c r="O49" s="55" t="s">
        <v>140</v>
      </c>
      <c r="P49" s="46">
        <f>SUM(J49*M49)</f>
        <v>96000000</v>
      </c>
      <c r="Q49" s="49" t="s">
        <v>148</v>
      </c>
    </row>
    <row r="50" spans="1:17" s="30" customFormat="1" ht="17.100000000000001" customHeight="1">
      <c r="A50" s="20"/>
      <c r="B50" s="344"/>
      <c r="C50" s="426" t="s">
        <v>312</v>
      </c>
      <c r="D50" s="412">
        <v>883368</v>
      </c>
      <c r="E50" s="422">
        <f>(P50/1000)</f>
        <v>883368</v>
      </c>
      <c r="F50" s="321">
        <v>61780</v>
      </c>
      <c r="G50" s="407">
        <f>+E50-D50</f>
        <v>0</v>
      </c>
      <c r="H50" s="419">
        <f>G50/D50*100</f>
        <v>0</v>
      </c>
      <c r="I50" s="90"/>
      <c r="J50" s="43"/>
      <c r="K50" s="332"/>
      <c r="L50" s="332"/>
      <c r="M50" s="425" t="s">
        <v>162</v>
      </c>
      <c r="N50" s="425"/>
      <c r="O50" s="425"/>
      <c r="P50" s="43">
        <f>SUM(P51:P54)</f>
        <v>883368000</v>
      </c>
      <c r="Q50" s="38" t="s">
        <v>148</v>
      </c>
    </row>
    <row r="51" spans="1:17" s="30" customFormat="1" ht="17.100000000000001" customHeight="1">
      <c r="A51" s="20"/>
      <c r="B51" s="344"/>
      <c r="C51" s="427"/>
      <c r="D51" s="413"/>
      <c r="E51" s="423"/>
      <c r="F51" s="322"/>
      <c r="G51" s="408"/>
      <c r="H51" s="420"/>
      <c r="I51" s="51" t="s">
        <v>50</v>
      </c>
      <c r="J51" s="46">
        <v>100000000</v>
      </c>
      <c r="K51" s="47" t="s">
        <v>148</v>
      </c>
      <c r="L51" s="48" t="s">
        <v>123</v>
      </c>
      <c r="M51" s="47">
        <v>1</v>
      </c>
      <c r="N51" s="47" t="s">
        <v>126</v>
      </c>
      <c r="O51" s="55" t="s">
        <v>138</v>
      </c>
      <c r="P51" s="46">
        <f>SUM(J51*M51)</f>
        <v>100000000</v>
      </c>
      <c r="Q51" s="49" t="s">
        <v>148</v>
      </c>
    </row>
    <row r="52" spans="1:17" s="30" customFormat="1" ht="17.100000000000001" customHeight="1">
      <c r="A52" s="20"/>
      <c r="B52" s="344"/>
      <c r="C52" s="427"/>
      <c r="D52" s="413"/>
      <c r="E52" s="423"/>
      <c r="F52" s="322"/>
      <c r="G52" s="408"/>
      <c r="H52" s="420"/>
      <c r="I52" s="51" t="s">
        <v>117</v>
      </c>
      <c r="J52" s="46">
        <v>60000000</v>
      </c>
      <c r="K52" s="47" t="s">
        <v>148</v>
      </c>
      <c r="L52" s="48" t="s">
        <v>123</v>
      </c>
      <c r="M52" s="47">
        <v>12</v>
      </c>
      <c r="N52" s="47" t="s">
        <v>126</v>
      </c>
      <c r="O52" s="55" t="s">
        <v>138</v>
      </c>
      <c r="P52" s="46">
        <f>SUM(J52*M52)</f>
        <v>720000000</v>
      </c>
      <c r="Q52" s="49" t="s">
        <v>148</v>
      </c>
    </row>
    <row r="53" spans="1:17" s="30" customFormat="1" ht="17.100000000000001" customHeight="1">
      <c r="A53" s="39"/>
      <c r="B53" s="336"/>
      <c r="C53" s="427"/>
      <c r="D53" s="413"/>
      <c r="E53" s="423"/>
      <c r="F53" s="322"/>
      <c r="G53" s="408"/>
      <c r="H53" s="420"/>
      <c r="I53" s="45" t="s">
        <v>18</v>
      </c>
      <c r="J53" s="46">
        <v>15000000</v>
      </c>
      <c r="K53" s="47" t="s">
        <v>148</v>
      </c>
      <c r="L53" s="48" t="s">
        <v>123</v>
      </c>
      <c r="M53" s="47">
        <v>2</v>
      </c>
      <c r="N53" s="47" t="s">
        <v>126</v>
      </c>
      <c r="O53" s="55" t="s">
        <v>138</v>
      </c>
      <c r="P53" s="46">
        <f>SUM(J53*M53)</f>
        <v>30000000</v>
      </c>
      <c r="Q53" s="49" t="s">
        <v>148</v>
      </c>
    </row>
    <row r="54" spans="1:17" s="30" customFormat="1" ht="17.100000000000001" customHeight="1">
      <c r="A54" s="39"/>
      <c r="B54" s="97"/>
      <c r="C54" s="431"/>
      <c r="D54" s="432"/>
      <c r="E54" s="454"/>
      <c r="F54" s="341"/>
      <c r="G54" s="446"/>
      <c r="H54" s="438"/>
      <c r="I54" s="98" t="s">
        <v>404</v>
      </c>
      <c r="J54" s="99">
        <v>8342000</v>
      </c>
      <c r="K54" s="100" t="s">
        <v>148</v>
      </c>
      <c r="L54" s="101" t="s">
        <v>123</v>
      </c>
      <c r="M54" s="100">
        <v>4</v>
      </c>
      <c r="N54" s="100" t="s">
        <v>126</v>
      </c>
      <c r="O54" s="102" t="s">
        <v>138</v>
      </c>
      <c r="P54" s="99">
        <f>SUM(J54*M54)</f>
        <v>33368000</v>
      </c>
      <c r="Q54" s="103" t="s">
        <v>148</v>
      </c>
    </row>
    <row r="55" spans="1:17" ht="17.100000000000001" customHeight="1">
      <c r="A55" s="20"/>
      <c r="B55" s="344" t="s">
        <v>153</v>
      </c>
      <c r="C55" s="334" t="s">
        <v>169</v>
      </c>
      <c r="D55" s="325">
        <f>SUM(D56:D66)</f>
        <v>469680</v>
      </c>
      <c r="E55" s="327">
        <f>SUM(E56:E66)</f>
        <v>469680</v>
      </c>
      <c r="F55" s="322">
        <f>SUM(F56:F66)</f>
        <v>624554</v>
      </c>
      <c r="G55" s="329">
        <f>+E55-D55</f>
        <v>0</v>
      </c>
      <c r="H55" s="331">
        <f>+G55/D55*100</f>
        <v>0</v>
      </c>
      <c r="I55" s="30"/>
      <c r="J55" s="30"/>
      <c r="K55" s="47"/>
      <c r="L55" s="47"/>
      <c r="M55" s="30"/>
      <c r="N55" s="30"/>
      <c r="O55" s="30"/>
      <c r="P55" s="66">
        <f>SUM(P56,P58)</f>
        <v>469680000</v>
      </c>
      <c r="Q55" s="49" t="s">
        <v>148</v>
      </c>
    </row>
    <row r="56" spans="1:17" ht="17.100000000000001" customHeight="1">
      <c r="A56" s="39"/>
      <c r="B56" s="344" t="s">
        <v>128</v>
      </c>
      <c r="C56" s="434" t="s">
        <v>251</v>
      </c>
      <c r="D56" s="412">
        <v>36000</v>
      </c>
      <c r="E56" s="415">
        <f>+P56/1000</f>
        <v>36000</v>
      </c>
      <c r="F56" s="409">
        <v>72575</v>
      </c>
      <c r="G56" s="407">
        <f>+E56-D56</f>
        <v>0</v>
      </c>
      <c r="H56" s="439">
        <f>G56/D56*100</f>
        <v>0</v>
      </c>
      <c r="I56" s="42"/>
      <c r="J56" s="54"/>
      <c r="K56" s="332"/>
      <c r="L56" s="332"/>
      <c r="M56" s="425" t="s">
        <v>162</v>
      </c>
      <c r="N56" s="425"/>
      <c r="O56" s="425"/>
      <c r="P56" s="54">
        <f>SUM(P57:P57)</f>
        <v>36000000</v>
      </c>
      <c r="Q56" s="38" t="s">
        <v>148</v>
      </c>
    </row>
    <row r="57" spans="1:17" ht="17.100000000000001" customHeight="1">
      <c r="A57" s="39"/>
      <c r="B57" s="336"/>
      <c r="C57" s="434"/>
      <c r="D57" s="414"/>
      <c r="E57" s="417"/>
      <c r="F57" s="411"/>
      <c r="G57" s="418"/>
      <c r="H57" s="440"/>
      <c r="I57" s="104" t="s">
        <v>12</v>
      </c>
      <c r="J57" s="71">
        <v>100000</v>
      </c>
      <c r="K57" s="383" t="s">
        <v>148</v>
      </c>
      <c r="L57" s="72" t="s">
        <v>123</v>
      </c>
      <c r="M57" s="105">
        <v>360</v>
      </c>
      <c r="N57" s="383" t="s">
        <v>126</v>
      </c>
      <c r="O57" s="73" t="s">
        <v>138</v>
      </c>
      <c r="P57" s="71">
        <f>J57*M57</f>
        <v>36000000</v>
      </c>
      <c r="Q57" s="74" t="s">
        <v>148</v>
      </c>
    </row>
    <row r="58" spans="1:17" ht="17.100000000000001" customHeight="1">
      <c r="A58" s="20"/>
      <c r="B58" s="344"/>
      <c r="C58" s="433" t="s">
        <v>289</v>
      </c>
      <c r="D58" s="412">
        <v>433680</v>
      </c>
      <c r="E58" s="422">
        <f>P58/1000</f>
        <v>433680</v>
      </c>
      <c r="F58" s="409">
        <v>551979</v>
      </c>
      <c r="G58" s="407">
        <f>+E58-D58</f>
        <v>0</v>
      </c>
      <c r="H58" s="419">
        <f>+G58/D58*100</f>
        <v>0</v>
      </c>
      <c r="I58" s="42"/>
      <c r="J58" s="54"/>
      <c r="K58" s="332"/>
      <c r="L58" s="332"/>
      <c r="M58" s="332" t="s">
        <v>162</v>
      </c>
      <c r="N58" s="332"/>
      <c r="O58" s="332"/>
      <c r="P58" s="54">
        <f>SUM(P59:P66)</f>
        <v>433680000</v>
      </c>
      <c r="Q58" s="38" t="s">
        <v>148</v>
      </c>
    </row>
    <row r="59" spans="1:17" ht="17.100000000000001" customHeight="1">
      <c r="A59" s="20"/>
      <c r="B59" s="344"/>
      <c r="C59" s="434"/>
      <c r="D59" s="413"/>
      <c r="E59" s="423"/>
      <c r="F59" s="410"/>
      <c r="G59" s="408">
        <f>+D59-E59</f>
        <v>0</v>
      </c>
      <c r="H59" s="420" t="e">
        <f>+G59/D59*100</f>
        <v>#DIV/0!</v>
      </c>
      <c r="I59" s="51" t="s">
        <v>265</v>
      </c>
      <c r="J59" s="46">
        <v>7000000</v>
      </c>
      <c r="K59" s="47" t="s">
        <v>148</v>
      </c>
      <c r="L59" s="48" t="s">
        <v>123</v>
      </c>
      <c r="M59" s="47">
        <v>12</v>
      </c>
      <c r="N59" s="47" t="s">
        <v>131</v>
      </c>
      <c r="O59" s="55" t="s">
        <v>138</v>
      </c>
      <c r="P59" s="46">
        <f>J59*M59</f>
        <v>84000000</v>
      </c>
      <c r="Q59" s="49" t="s">
        <v>148</v>
      </c>
    </row>
    <row r="60" spans="1:17" ht="17.100000000000001" customHeight="1">
      <c r="A60" s="39"/>
      <c r="B60" s="336"/>
      <c r="C60" s="426"/>
      <c r="D60" s="413"/>
      <c r="E60" s="423"/>
      <c r="F60" s="410"/>
      <c r="G60" s="408"/>
      <c r="H60" s="420" t="e">
        <f>+G60/D60*100</f>
        <v>#DIV/0!</v>
      </c>
      <c r="I60" s="51" t="s">
        <v>166</v>
      </c>
      <c r="J60" s="46">
        <v>23690000</v>
      </c>
      <c r="K60" s="47" t="s">
        <v>148</v>
      </c>
      <c r="L60" s="48" t="s">
        <v>123</v>
      </c>
      <c r="M60" s="47">
        <v>12</v>
      </c>
      <c r="N60" s="47" t="s">
        <v>131</v>
      </c>
      <c r="O60" s="55" t="s">
        <v>138</v>
      </c>
      <c r="P60" s="46">
        <f>SUM(J60*M60)</f>
        <v>284280000</v>
      </c>
      <c r="Q60" s="49" t="s">
        <v>148</v>
      </c>
    </row>
    <row r="61" spans="1:17" ht="17.100000000000001" customHeight="1">
      <c r="A61" s="39"/>
      <c r="B61" s="336"/>
      <c r="C61" s="426"/>
      <c r="D61" s="413"/>
      <c r="E61" s="423"/>
      <c r="F61" s="410"/>
      <c r="G61" s="408"/>
      <c r="H61" s="420"/>
      <c r="I61" s="30" t="s">
        <v>45</v>
      </c>
      <c r="J61" s="46">
        <v>1500000</v>
      </c>
      <c r="K61" s="47" t="s">
        <v>148</v>
      </c>
      <c r="L61" s="48" t="s">
        <v>123</v>
      </c>
      <c r="M61" s="47">
        <v>12</v>
      </c>
      <c r="N61" s="47" t="s">
        <v>126</v>
      </c>
      <c r="O61" s="55" t="s">
        <v>138</v>
      </c>
      <c r="P61" s="46">
        <f>SUM(J61*M61)</f>
        <v>18000000</v>
      </c>
      <c r="Q61" s="49" t="s">
        <v>148</v>
      </c>
    </row>
    <row r="62" spans="1:17" ht="17.100000000000001" customHeight="1">
      <c r="A62" s="39"/>
      <c r="B62" s="336"/>
      <c r="C62" s="426"/>
      <c r="D62" s="413"/>
      <c r="E62" s="423"/>
      <c r="F62" s="410"/>
      <c r="G62" s="408"/>
      <c r="H62" s="420"/>
      <c r="I62" s="30" t="s">
        <v>63</v>
      </c>
      <c r="J62" s="46">
        <v>2400000</v>
      </c>
      <c r="K62" s="47" t="s">
        <v>148</v>
      </c>
      <c r="L62" s="48" t="s">
        <v>123</v>
      </c>
      <c r="M62" s="47">
        <v>12</v>
      </c>
      <c r="N62" s="47" t="s">
        <v>126</v>
      </c>
      <c r="O62" s="55" t="s">
        <v>138</v>
      </c>
      <c r="P62" s="46">
        <f>SUM(J62*M62)</f>
        <v>28800000</v>
      </c>
      <c r="Q62" s="49" t="s">
        <v>148</v>
      </c>
    </row>
    <row r="63" spans="1:17" ht="17.100000000000001" customHeight="1">
      <c r="A63" s="39"/>
      <c r="B63" s="336"/>
      <c r="C63" s="426"/>
      <c r="D63" s="413"/>
      <c r="E63" s="423"/>
      <c r="F63" s="410"/>
      <c r="G63" s="408"/>
      <c r="H63" s="420"/>
      <c r="I63" s="51" t="s">
        <v>227</v>
      </c>
      <c r="J63" s="46">
        <v>1300000</v>
      </c>
      <c r="K63" s="47" t="s">
        <v>148</v>
      </c>
      <c r="L63" s="48" t="s">
        <v>123</v>
      </c>
      <c r="M63" s="47">
        <v>12</v>
      </c>
      <c r="N63" s="47" t="s">
        <v>126</v>
      </c>
      <c r="O63" s="55" t="s">
        <v>138</v>
      </c>
      <c r="P63" s="46">
        <f>SUM(J63*M63)</f>
        <v>15600000</v>
      </c>
      <c r="Q63" s="29" t="s">
        <v>148</v>
      </c>
    </row>
    <row r="64" spans="1:17" ht="17.100000000000001" customHeight="1">
      <c r="A64" s="39"/>
      <c r="B64" s="336"/>
      <c r="C64" s="426"/>
      <c r="D64" s="413"/>
      <c r="E64" s="423"/>
      <c r="F64" s="410"/>
      <c r="G64" s="408"/>
      <c r="H64" s="420"/>
      <c r="I64" s="51" t="s">
        <v>262</v>
      </c>
      <c r="J64" s="46">
        <v>0</v>
      </c>
      <c r="K64" s="47" t="s">
        <v>148</v>
      </c>
      <c r="L64" s="48" t="s">
        <v>123</v>
      </c>
      <c r="M64" s="47"/>
      <c r="N64" s="47" t="s">
        <v>126</v>
      </c>
      <c r="O64" s="55" t="s">
        <v>138</v>
      </c>
      <c r="P64" s="46">
        <f>J64*M64</f>
        <v>0</v>
      </c>
      <c r="Q64" s="29" t="s">
        <v>148</v>
      </c>
    </row>
    <row r="65" spans="1:17" ht="17.100000000000001" customHeight="1">
      <c r="A65" s="39"/>
      <c r="B65" s="336"/>
      <c r="C65" s="426"/>
      <c r="D65" s="413"/>
      <c r="E65" s="423"/>
      <c r="F65" s="410"/>
      <c r="G65" s="408"/>
      <c r="H65" s="420" t="e">
        <f>+G65/D65*100</f>
        <v>#DIV/0!</v>
      </c>
      <c r="I65" s="51" t="s">
        <v>317</v>
      </c>
      <c r="J65" s="46">
        <v>200000</v>
      </c>
      <c r="K65" s="47" t="s">
        <v>148</v>
      </c>
      <c r="L65" s="48" t="s">
        <v>123</v>
      </c>
      <c r="M65" s="47">
        <v>12</v>
      </c>
      <c r="N65" s="47" t="s">
        <v>126</v>
      </c>
      <c r="O65" s="55" t="s">
        <v>138</v>
      </c>
      <c r="P65" s="46">
        <f>SUM(J65*M65)</f>
        <v>2400000</v>
      </c>
      <c r="Q65" s="29" t="s">
        <v>148</v>
      </c>
    </row>
    <row r="66" spans="1:17" ht="17.100000000000001" customHeight="1">
      <c r="A66" s="107"/>
      <c r="B66" s="337"/>
      <c r="C66" s="434"/>
      <c r="D66" s="414"/>
      <c r="E66" s="424"/>
      <c r="F66" s="411"/>
      <c r="G66" s="418"/>
      <c r="H66" s="421"/>
      <c r="I66" s="70" t="s">
        <v>180</v>
      </c>
      <c r="J66" s="71">
        <v>50000</v>
      </c>
      <c r="K66" s="383" t="s">
        <v>148</v>
      </c>
      <c r="L66" s="72" t="s">
        <v>123</v>
      </c>
      <c r="M66" s="383">
        <v>12</v>
      </c>
      <c r="N66" s="383" t="s">
        <v>126</v>
      </c>
      <c r="O66" s="73" t="s">
        <v>138</v>
      </c>
      <c r="P66" s="71">
        <f>J66*M66</f>
        <v>600000</v>
      </c>
      <c r="Q66" s="74" t="s">
        <v>148</v>
      </c>
    </row>
    <row r="67" spans="1:17" ht="18.95" customHeight="1">
      <c r="A67" s="88" t="s">
        <v>135</v>
      </c>
      <c r="B67" s="429" t="s">
        <v>168</v>
      </c>
      <c r="C67" s="430"/>
      <c r="D67" s="57">
        <f>SUM(D68)</f>
        <v>2123530</v>
      </c>
      <c r="E67" s="58">
        <f>SUM(E68)</f>
        <v>2164929.99988</v>
      </c>
      <c r="F67" s="108">
        <f>SUM(F68)</f>
        <v>875385</v>
      </c>
      <c r="G67" s="60">
        <f>+E67-D67</f>
        <v>41399.999880000018</v>
      </c>
      <c r="H67" s="61">
        <f>+G67/D67*100</f>
        <v>1.9495839418327041</v>
      </c>
      <c r="I67" s="62"/>
      <c r="J67" s="62"/>
      <c r="K67" s="339"/>
      <c r="L67" s="339"/>
      <c r="M67" s="62"/>
      <c r="N67" s="62"/>
      <c r="O67" s="62"/>
      <c r="P67" s="63">
        <f>P68</f>
        <v>2164929999.8800001</v>
      </c>
      <c r="Q67" s="64" t="s">
        <v>148</v>
      </c>
    </row>
    <row r="68" spans="1:17" ht="17.100000000000001" customHeight="1">
      <c r="A68" s="39"/>
      <c r="B68" s="344" t="s">
        <v>135</v>
      </c>
      <c r="C68" s="335" t="s">
        <v>169</v>
      </c>
      <c r="D68" s="80">
        <f>SUM(D69:D81)</f>
        <v>2123530</v>
      </c>
      <c r="E68" s="81">
        <f>P68/1000</f>
        <v>2164929.99988</v>
      </c>
      <c r="F68" s="109">
        <f>SUM(F69:F71)</f>
        <v>875385</v>
      </c>
      <c r="G68" s="34">
        <f>+E68-D68</f>
        <v>41399.999880000018</v>
      </c>
      <c r="H68" s="340">
        <f>+G68/D68*100</f>
        <v>1.9495839418327041</v>
      </c>
      <c r="I68" s="30"/>
      <c r="J68" s="30"/>
      <c r="K68" s="47"/>
      <c r="L68" s="47"/>
      <c r="M68" s="30"/>
      <c r="N68" s="30"/>
      <c r="O68" s="30"/>
      <c r="P68" s="66">
        <f>SUM(P69,P72,P75,P78)</f>
        <v>2164929999.8800001</v>
      </c>
      <c r="Q68" s="49" t="s">
        <v>148</v>
      </c>
    </row>
    <row r="69" spans="1:17" ht="17.100000000000001" customHeight="1">
      <c r="A69" s="39"/>
      <c r="B69" s="336"/>
      <c r="C69" s="426" t="s">
        <v>367</v>
      </c>
      <c r="D69" s="412">
        <v>1061660</v>
      </c>
      <c r="E69" s="415">
        <f>+P69/1000</f>
        <v>1061659.9999199999</v>
      </c>
      <c r="F69" s="409">
        <v>875385</v>
      </c>
      <c r="G69" s="407">
        <f>+E69-D69</f>
        <v>-8.0000143498182297E-5</v>
      </c>
      <c r="H69" s="419">
        <f>+G69/D69*100</f>
        <v>-7.535382655292872E-9</v>
      </c>
      <c r="I69" s="42"/>
      <c r="J69" s="43"/>
      <c r="K69" s="332"/>
      <c r="L69" s="332"/>
      <c r="M69" s="425" t="s">
        <v>162</v>
      </c>
      <c r="N69" s="425"/>
      <c r="O69" s="425"/>
      <c r="P69" s="43">
        <f>SUM(P70:P71)</f>
        <v>1061659999.92</v>
      </c>
      <c r="Q69" s="38" t="s">
        <v>148</v>
      </c>
    </row>
    <row r="70" spans="1:17" ht="17.100000000000001" customHeight="1">
      <c r="A70" s="39"/>
      <c r="B70" s="336"/>
      <c r="C70" s="427"/>
      <c r="D70" s="413"/>
      <c r="E70" s="416"/>
      <c r="F70" s="410"/>
      <c r="G70" s="408">
        <f>+E70-D70</f>
        <v>0</v>
      </c>
      <c r="H70" s="420"/>
      <c r="I70" s="51" t="s">
        <v>14</v>
      </c>
      <c r="J70" s="31">
        <v>11805000</v>
      </c>
      <c r="K70" s="47" t="s">
        <v>148</v>
      </c>
      <c r="L70" s="48" t="s">
        <v>123</v>
      </c>
      <c r="M70" s="47">
        <v>12</v>
      </c>
      <c r="N70" s="47" t="s">
        <v>131</v>
      </c>
      <c r="O70" s="55" t="s">
        <v>138</v>
      </c>
      <c r="P70" s="31">
        <f>SUM(J70*M70)</f>
        <v>141660000</v>
      </c>
      <c r="Q70" s="49" t="s">
        <v>148</v>
      </c>
    </row>
    <row r="71" spans="1:17" ht="17.100000000000001" customHeight="1">
      <c r="A71" s="39"/>
      <c r="B71" s="336"/>
      <c r="C71" s="428"/>
      <c r="D71" s="414"/>
      <c r="E71" s="417"/>
      <c r="F71" s="411"/>
      <c r="G71" s="418">
        <f>+E71-D71</f>
        <v>0</v>
      </c>
      <c r="H71" s="421"/>
      <c r="I71" s="104" t="s">
        <v>10</v>
      </c>
      <c r="J71" s="52">
        <v>76666666.659999996</v>
      </c>
      <c r="K71" s="383" t="s">
        <v>148</v>
      </c>
      <c r="L71" s="72" t="s">
        <v>123</v>
      </c>
      <c r="M71" s="383">
        <v>12</v>
      </c>
      <c r="N71" s="383" t="s">
        <v>126</v>
      </c>
      <c r="O71" s="73" t="s">
        <v>138</v>
      </c>
      <c r="P71" s="52">
        <f>SUM(J71*M71)</f>
        <v>919999999.91999996</v>
      </c>
      <c r="Q71" s="74" t="s">
        <v>148</v>
      </c>
    </row>
    <row r="72" spans="1:17" ht="17.100000000000001" customHeight="1">
      <c r="A72" s="39"/>
      <c r="B72" s="336"/>
      <c r="C72" s="426" t="s">
        <v>362</v>
      </c>
      <c r="D72" s="412">
        <v>106630</v>
      </c>
      <c r="E72" s="415">
        <f>+P72/1000</f>
        <v>106630</v>
      </c>
      <c r="F72" s="409">
        <v>593059</v>
      </c>
      <c r="G72" s="407">
        <f>E72-D72</f>
        <v>0</v>
      </c>
      <c r="H72" s="419">
        <f>+G72/D72*100</f>
        <v>0</v>
      </c>
      <c r="I72" s="42"/>
      <c r="J72" s="54"/>
      <c r="K72" s="332"/>
      <c r="L72" s="332"/>
      <c r="M72" s="425" t="s">
        <v>162</v>
      </c>
      <c r="N72" s="425"/>
      <c r="O72" s="425"/>
      <c r="P72" s="54">
        <f>SUM(P73:P74)</f>
        <v>106630000</v>
      </c>
      <c r="Q72" s="38" t="s">
        <v>148</v>
      </c>
    </row>
    <row r="73" spans="1:17" ht="17.100000000000001" customHeight="1">
      <c r="A73" s="39"/>
      <c r="B73" s="334"/>
      <c r="C73" s="427"/>
      <c r="D73" s="413"/>
      <c r="E73" s="416"/>
      <c r="F73" s="410"/>
      <c r="G73" s="408"/>
      <c r="H73" s="420"/>
      <c r="I73" s="30" t="s">
        <v>387</v>
      </c>
      <c r="J73" s="46">
        <v>0</v>
      </c>
      <c r="K73" s="47" t="s">
        <v>148</v>
      </c>
      <c r="L73" s="48" t="s">
        <v>123</v>
      </c>
      <c r="M73" s="47">
        <v>0</v>
      </c>
      <c r="N73" s="47" t="s">
        <v>126</v>
      </c>
      <c r="O73" s="110" t="s">
        <v>138</v>
      </c>
      <c r="P73" s="46">
        <f>SUM(J73*M73)</f>
        <v>0</v>
      </c>
      <c r="Q73" s="49" t="s">
        <v>148</v>
      </c>
    </row>
    <row r="74" spans="1:17" ht="17.100000000000001" customHeight="1">
      <c r="A74" s="39"/>
      <c r="B74" s="334"/>
      <c r="C74" s="428"/>
      <c r="D74" s="414"/>
      <c r="E74" s="417"/>
      <c r="F74" s="411"/>
      <c r="G74" s="418"/>
      <c r="H74" s="421"/>
      <c r="I74" s="104" t="s">
        <v>389</v>
      </c>
      <c r="J74" s="71">
        <v>106630000</v>
      </c>
      <c r="K74" s="383" t="s">
        <v>148</v>
      </c>
      <c r="L74" s="72" t="s">
        <v>123</v>
      </c>
      <c r="M74" s="383">
        <v>1</v>
      </c>
      <c r="N74" s="383" t="s">
        <v>126</v>
      </c>
      <c r="O74" s="73" t="s">
        <v>138</v>
      </c>
      <c r="P74" s="71">
        <f>SUM(J74*M74)</f>
        <v>106630000</v>
      </c>
      <c r="Q74" s="74" t="s">
        <v>148</v>
      </c>
    </row>
    <row r="75" spans="1:17" ht="17.100000000000001" customHeight="1">
      <c r="A75" s="20"/>
      <c r="B75" s="344"/>
      <c r="C75" s="448" t="s">
        <v>339</v>
      </c>
      <c r="D75" s="412">
        <v>670350</v>
      </c>
      <c r="E75" s="415">
        <f>+P75/1000</f>
        <v>670350</v>
      </c>
      <c r="F75" s="409">
        <v>538723</v>
      </c>
      <c r="G75" s="407">
        <f>+E75-D75</f>
        <v>0</v>
      </c>
      <c r="H75" s="419">
        <f>+G75/D75*100</f>
        <v>0</v>
      </c>
      <c r="I75" s="42"/>
      <c r="J75" s="54"/>
      <c r="K75" s="332"/>
      <c r="L75" s="332"/>
      <c r="M75" s="425" t="s">
        <v>162</v>
      </c>
      <c r="N75" s="425"/>
      <c r="O75" s="425"/>
      <c r="P75" s="54">
        <f>SUM(P76:P77)</f>
        <v>670350000</v>
      </c>
      <c r="Q75" s="38" t="s">
        <v>148</v>
      </c>
    </row>
    <row r="76" spans="1:17" ht="17.100000000000001" customHeight="1">
      <c r="A76" s="39"/>
      <c r="B76" s="334"/>
      <c r="C76" s="449"/>
      <c r="D76" s="413"/>
      <c r="E76" s="416"/>
      <c r="F76" s="410"/>
      <c r="G76" s="408"/>
      <c r="H76" s="420"/>
      <c r="I76" s="30" t="s">
        <v>405</v>
      </c>
      <c r="J76" s="46">
        <v>215175000</v>
      </c>
      <c r="K76" s="47" t="s">
        <v>148</v>
      </c>
      <c r="L76" s="48" t="s">
        <v>123</v>
      </c>
      <c r="M76" s="47">
        <v>2</v>
      </c>
      <c r="N76" s="47" t="s">
        <v>126</v>
      </c>
      <c r="O76" s="55" t="s">
        <v>138</v>
      </c>
      <c r="P76" s="46">
        <f>SUM(J76*M76)</f>
        <v>430350000</v>
      </c>
      <c r="Q76" s="49" t="s">
        <v>148</v>
      </c>
    </row>
    <row r="77" spans="1:17" ht="17.100000000000001" customHeight="1">
      <c r="A77" s="39"/>
      <c r="B77" s="334"/>
      <c r="C77" s="450"/>
      <c r="D77" s="414"/>
      <c r="E77" s="417"/>
      <c r="F77" s="411"/>
      <c r="G77" s="418">
        <f>+D77-E77</f>
        <v>0</v>
      </c>
      <c r="H77" s="421"/>
      <c r="I77" s="70" t="s">
        <v>368</v>
      </c>
      <c r="J77" s="71">
        <v>20000000</v>
      </c>
      <c r="K77" s="383" t="s">
        <v>148</v>
      </c>
      <c r="L77" s="72" t="s">
        <v>123</v>
      </c>
      <c r="M77" s="383">
        <v>12</v>
      </c>
      <c r="N77" s="383" t="s">
        <v>126</v>
      </c>
      <c r="O77" s="73" t="s">
        <v>138</v>
      </c>
      <c r="P77" s="71">
        <f>SUM(J77*M77)</f>
        <v>240000000</v>
      </c>
      <c r="Q77" s="74" t="s">
        <v>148</v>
      </c>
    </row>
    <row r="78" spans="1:17" ht="17.100000000000001" customHeight="1">
      <c r="A78" s="20"/>
      <c r="B78" s="345"/>
      <c r="C78" s="435" t="s">
        <v>334</v>
      </c>
      <c r="D78" s="412">
        <v>284890</v>
      </c>
      <c r="E78" s="412">
        <f>+P78/1000</f>
        <v>326289.99996000004</v>
      </c>
      <c r="F78" s="409">
        <v>22522</v>
      </c>
      <c r="G78" s="407">
        <f>+E78-D78</f>
        <v>41399.999960000045</v>
      </c>
      <c r="H78" s="419">
        <f>+G78/D78*100</f>
        <v>14.531924588437658</v>
      </c>
      <c r="I78" s="42"/>
      <c r="J78" s="43"/>
      <c r="K78" s="332"/>
      <c r="L78" s="332"/>
      <c r="M78" s="425" t="s">
        <v>162</v>
      </c>
      <c r="N78" s="425"/>
      <c r="O78" s="425"/>
      <c r="P78" s="43">
        <f>SUM(P79:P81)</f>
        <v>326289999.96000004</v>
      </c>
      <c r="Q78" s="38" t="s">
        <v>148</v>
      </c>
    </row>
    <row r="79" spans="1:17" ht="17.100000000000001" customHeight="1">
      <c r="A79" s="39"/>
      <c r="B79" s="334"/>
      <c r="C79" s="436"/>
      <c r="D79" s="413"/>
      <c r="E79" s="413"/>
      <c r="F79" s="410"/>
      <c r="G79" s="408"/>
      <c r="H79" s="420"/>
      <c r="I79" s="112" t="s">
        <v>185</v>
      </c>
      <c r="J79" s="46">
        <v>7713333.3300000001</v>
      </c>
      <c r="K79" s="47" t="s">
        <v>148</v>
      </c>
      <c r="L79" s="48" t="s">
        <v>123</v>
      </c>
      <c r="M79" s="47">
        <v>12</v>
      </c>
      <c r="N79" s="47" t="s">
        <v>131</v>
      </c>
      <c r="O79" s="55" t="s">
        <v>138</v>
      </c>
      <c r="P79" s="46">
        <f>SUM(J79*M79)</f>
        <v>92559999.960000008</v>
      </c>
      <c r="Q79" s="49" t="s">
        <v>148</v>
      </c>
    </row>
    <row r="80" spans="1:17" ht="17.100000000000001" customHeight="1">
      <c r="A80" s="39"/>
      <c r="B80" s="334"/>
      <c r="C80" s="436"/>
      <c r="D80" s="413"/>
      <c r="E80" s="413"/>
      <c r="F80" s="44"/>
      <c r="G80" s="408"/>
      <c r="H80" s="420"/>
      <c r="I80" s="112" t="s">
        <v>394</v>
      </c>
      <c r="J80" s="46">
        <v>17817500</v>
      </c>
      <c r="K80" s="47" t="s">
        <v>148</v>
      </c>
      <c r="L80" s="48" t="s">
        <v>123</v>
      </c>
      <c r="M80" s="47">
        <v>12</v>
      </c>
      <c r="N80" s="47" t="s">
        <v>126</v>
      </c>
      <c r="O80" s="55" t="s">
        <v>138</v>
      </c>
      <c r="P80" s="46">
        <f>SUM(J80*M80)</f>
        <v>213810000</v>
      </c>
      <c r="Q80" s="49" t="s">
        <v>148</v>
      </c>
    </row>
    <row r="81" spans="1:17" ht="17.100000000000001" customHeight="1">
      <c r="A81" s="39"/>
      <c r="B81" s="336"/>
      <c r="C81" s="436"/>
      <c r="D81" s="413"/>
      <c r="E81" s="413"/>
      <c r="F81" s="50"/>
      <c r="G81" s="408"/>
      <c r="H81" s="420"/>
      <c r="I81" s="112" t="s">
        <v>411</v>
      </c>
      <c r="J81" s="46">
        <v>19920000</v>
      </c>
      <c r="K81" s="47" t="s">
        <v>148</v>
      </c>
      <c r="L81" s="48" t="s">
        <v>123</v>
      </c>
      <c r="M81" s="47">
        <v>1</v>
      </c>
      <c r="N81" s="47" t="s">
        <v>126</v>
      </c>
      <c r="O81" s="55" t="s">
        <v>138</v>
      </c>
      <c r="P81" s="46">
        <f>SUM(J81*M81)</f>
        <v>19920000</v>
      </c>
      <c r="Q81" s="49" t="s">
        <v>148</v>
      </c>
    </row>
    <row r="82" spans="1:17" ht="18.95" customHeight="1">
      <c r="A82" s="88" t="s">
        <v>158</v>
      </c>
      <c r="B82" s="429" t="s">
        <v>168</v>
      </c>
      <c r="C82" s="430"/>
      <c r="D82" s="57">
        <f>SUM(D83)</f>
        <v>4408295</v>
      </c>
      <c r="E82" s="58">
        <f>SUM(E83)</f>
        <v>5420197.1209999993</v>
      </c>
      <c r="F82" s="108">
        <f>SUM(F83)</f>
        <v>1596860</v>
      </c>
      <c r="G82" s="60">
        <f>+E82-D82</f>
        <v>1011902.1209999993</v>
      </c>
      <c r="H82" s="61">
        <f t="shared" ref="H82:H94" si="2">+G82/D82*100</f>
        <v>22.954501025906826</v>
      </c>
      <c r="I82" s="62"/>
      <c r="J82" s="62"/>
      <c r="K82" s="339"/>
      <c r="L82" s="339"/>
      <c r="M82" s="62"/>
      <c r="N82" s="62"/>
      <c r="O82" s="62"/>
      <c r="P82" s="63">
        <f>SUM(P83)</f>
        <v>5420197121</v>
      </c>
      <c r="Q82" s="64" t="s">
        <v>148</v>
      </c>
    </row>
    <row r="83" spans="1:17" ht="17.100000000000001" customHeight="1">
      <c r="A83" s="39"/>
      <c r="B83" s="113" t="s">
        <v>158</v>
      </c>
      <c r="C83" s="333" t="s">
        <v>169</v>
      </c>
      <c r="D83" s="324">
        <f>SUM(D84:D86)</f>
        <v>4408295</v>
      </c>
      <c r="E83" s="114">
        <f>SUM(E84:E86)</f>
        <v>5420197.1209999993</v>
      </c>
      <c r="F83" s="115">
        <f>SUM(F84:F86)</f>
        <v>1596860</v>
      </c>
      <c r="G83" s="34">
        <f>E83-D83</f>
        <v>1011902.1209999993</v>
      </c>
      <c r="H83" s="340">
        <f t="shared" si="2"/>
        <v>22.954501025906826</v>
      </c>
      <c r="I83" s="89" t="s">
        <v>161</v>
      </c>
      <c r="J83" s="62" t="s">
        <v>161</v>
      </c>
      <c r="K83" s="332"/>
      <c r="L83" s="332"/>
      <c r="M83" s="89"/>
      <c r="N83" s="441" t="s">
        <v>162</v>
      </c>
      <c r="O83" s="441"/>
      <c r="P83" s="37">
        <f>SUM(P84:P86)</f>
        <v>5420197121</v>
      </c>
      <c r="Q83" s="38" t="s">
        <v>148</v>
      </c>
    </row>
    <row r="84" spans="1:17" ht="17.100000000000001" customHeight="1">
      <c r="A84" s="39"/>
      <c r="B84" s="336"/>
      <c r="C84" s="116" t="s">
        <v>31</v>
      </c>
      <c r="D84" s="117">
        <v>2317648</v>
      </c>
      <c r="E84" s="118">
        <f>+P84/1000</f>
        <v>2166305.7239999999</v>
      </c>
      <c r="F84" s="119">
        <v>313065</v>
      </c>
      <c r="G84" s="34">
        <f>E84-D84</f>
        <v>-151342.27600000007</v>
      </c>
      <c r="H84" s="340">
        <f t="shared" si="2"/>
        <v>-6.5299940284288249</v>
      </c>
      <c r="I84" s="120" t="s">
        <v>31</v>
      </c>
      <c r="J84" s="121">
        <v>2166305724</v>
      </c>
      <c r="K84" s="62" t="s">
        <v>148</v>
      </c>
      <c r="L84" s="122" t="s">
        <v>123</v>
      </c>
      <c r="M84" s="339">
        <v>1</v>
      </c>
      <c r="N84" s="339" t="s">
        <v>126</v>
      </c>
      <c r="O84" s="123" t="s">
        <v>138</v>
      </c>
      <c r="P84" s="124">
        <f>+J84*M84</f>
        <v>2166305724</v>
      </c>
      <c r="Q84" s="86" t="s">
        <v>148</v>
      </c>
    </row>
    <row r="85" spans="1:17" ht="17.100000000000001" customHeight="1">
      <c r="A85" s="39"/>
      <c r="B85" s="336"/>
      <c r="C85" s="116" t="s">
        <v>195</v>
      </c>
      <c r="D85" s="80">
        <v>881413</v>
      </c>
      <c r="E85" s="118">
        <f>+P85/1000</f>
        <v>1420811.4</v>
      </c>
      <c r="F85" s="119">
        <v>1283795</v>
      </c>
      <c r="G85" s="34">
        <f>E85-D85</f>
        <v>539398.39999999991</v>
      </c>
      <c r="H85" s="340">
        <f t="shared" si="2"/>
        <v>61.197009801307665</v>
      </c>
      <c r="I85" s="120" t="s">
        <v>195</v>
      </c>
      <c r="J85" s="121">
        <v>1420811400</v>
      </c>
      <c r="K85" s="62" t="s">
        <v>148</v>
      </c>
      <c r="L85" s="122" t="s">
        <v>123</v>
      </c>
      <c r="M85" s="339">
        <v>1</v>
      </c>
      <c r="N85" s="339" t="s">
        <v>126</v>
      </c>
      <c r="O85" s="123" t="s">
        <v>138</v>
      </c>
      <c r="P85" s="124">
        <f>+J85*M85</f>
        <v>1420811400</v>
      </c>
      <c r="Q85" s="86" t="s">
        <v>148</v>
      </c>
    </row>
    <row r="86" spans="1:17" ht="17.100000000000001" customHeight="1">
      <c r="A86" s="39"/>
      <c r="B86" s="336" t="s">
        <v>161</v>
      </c>
      <c r="C86" s="333" t="s">
        <v>205</v>
      </c>
      <c r="D86" s="80">
        <v>1209234</v>
      </c>
      <c r="E86" s="118">
        <f>+P86/1000</f>
        <v>1833079.997</v>
      </c>
      <c r="F86" s="119">
        <v>0</v>
      </c>
      <c r="G86" s="34">
        <f>E86-D86</f>
        <v>623845.99699999997</v>
      </c>
      <c r="H86" s="340">
        <f t="shared" si="2"/>
        <v>51.590179981707429</v>
      </c>
      <c r="I86" s="42" t="s">
        <v>205</v>
      </c>
      <c r="J86" s="121">
        <v>1833079997</v>
      </c>
      <c r="K86" s="89" t="s">
        <v>148</v>
      </c>
      <c r="L86" s="53" t="s">
        <v>123</v>
      </c>
      <c r="M86" s="332">
        <v>1</v>
      </c>
      <c r="N86" s="332" t="s">
        <v>126</v>
      </c>
      <c r="O86" s="125" t="s">
        <v>138</v>
      </c>
      <c r="P86" s="54">
        <f>+J86*M86</f>
        <v>1833079997</v>
      </c>
      <c r="Q86" s="38" t="s">
        <v>148</v>
      </c>
    </row>
    <row r="87" spans="1:17" ht="18.95" customHeight="1">
      <c r="A87" s="88" t="s">
        <v>163</v>
      </c>
      <c r="B87" s="430" t="s">
        <v>168</v>
      </c>
      <c r="C87" s="444"/>
      <c r="D87" s="126">
        <f>D88</f>
        <v>49721</v>
      </c>
      <c r="E87" s="58">
        <f>E88</f>
        <v>83135.399999999994</v>
      </c>
      <c r="F87" s="57">
        <f>F88</f>
        <v>0</v>
      </c>
      <c r="G87" s="60">
        <f>G88</f>
        <v>33414.399999999994</v>
      </c>
      <c r="H87" s="61">
        <f t="shared" si="2"/>
        <v>67.203797188310759</v>
      </c>
      <c r="I87" s="42"/>
      <c r="J87" s="54"/>
      <c r="K87" s="89"/>
      <c r="L87" s="53"/>
      <c r="M87" s="332"/>
      <c r="N87" s="332"/>
      <c r="O87" s="125"/>
      <c r="P87" s="127">
        <f>SUM(P88)</f>
        <v>83135400</v>
      </c>
      <c r="Q87" s="128" t="s">
        <v>148</v>
      </c>
    </row>
    <row r="88" spans="1:17" ht="17.100000000000001" customHeight="1">
      <c r="A88" s="20"/>
      <c r="B88" s="344" t="s">
        <v>163</v>
      </c>
      <c r="C88" s="342" t="s">
        <v>169</v>
      </c>
      <c r="D88" s="324">
        <f>SUM(D89:D94)</f>
        <v>49721</v>
      </c>
      <c r="E88" s="114">
        <f>SUM(E89:E94)</f>
        <v>83135.399999999994</v>
      </c>
      <c r="F88" s="129"/>
      <c r="G88" s="34">
        <f>E88-D88</f>
        <v>33414.399999999994</v>
      </c>
      <c r="H88" s="330">
        <f>G88/D88*100</f>
        <v>67.203797188310759</v>
      </c>
      <c r="I88" s="42"/>
      <c r="J88" s="54"/>
      <c r="K88" s="89"/>
      <c r="L88" s="53"/>
      <c r="M88" s="332"/>
      <c r="N88" s="441" t="s">
        <v>162</v>
      </c>
      <c r="O88" s="441"/>
      <c r="P88" s="54">
        <f>SUM(P89:P91)</f>
        <v>83135400</v>
      </c>
      <c r="Q88" s="38" t="s">
        <v>148</v>
      </c>
    </row>
    <row r="89" spans="1:17" ht="17.100000000000001" customHeight="1">
      <c r="A89" s="39"/>
      <c r="B89" s="336"/>
      <c r="C89" s="335" t="s">
        <v>207</v>
      </c>
      <c r="D89" s="80">
        <v>12000</v>
      </c>
      <c r="E89" s="114">
        <f>P89/1000</f>
        <v>12000</v>
      </c>
      <c r="F89" s="130"/>
      <c r="G89" s="34">
        <f>+E89-D89</f>
        <v>0</v>
      </c>
      <c r="H89" s="330">
        <f>G89/D89*100</f>
        <v>0</v>
      </c>
      <c r="I89" s="120" t="s">
        <v>207</v>
      </c>
      <c r="J89" s="121">
        <v>3000000</v>
      </c>
      <c r="K89" s="339" t="s">
        <v>148</v>
      </c>
      <c r="L89" s="122" t="s">
        <v>123</v>
      </c>
      <c r="M89" s="339">
        <v>4</v>
      </c>
      <c r="N89" s="339" t="s">
        <v>157</v>
      </c>
      <c r="O89" s="123" t="s">
        <v>138</v>
      </c>
      <c r="P89" s="121">
        <f>SUM(J89*M89)</f>
        <v>12000000</v>
      </c>
      <c r="Q89" s="86" t="s">
        <v>148</v>
      </c>
    </row>
    <row r="90" spans="1:17" ht="17.100000000000001" customHeight="1">
      <c r="A90" s="39"/>
      <c r="B90" s="336"/>
      <c r="C90" s="335" t="s">
        <v>313</v>
      </c>
      <c r="D90" s="80">
        <v>27179</v>
      </c>
      <c r="E90" s="81">
        <f>P90/1000</f>
        <v>6848.4</v>
      </c>
      <c r="F90" s="130"/>
      <c r="G90" s="34">
        <f>+E90-D90</f>
        <v>-20330.599999999999</v>
      </c>
      <c r="H90" s="340">
        <f>G90/D90*100</f>
        <v>-74.802604952352908</v>
      </c>
      <c r="I90" s="131" t="s">
        <v>455</v>
      </c>
      <c r="J90" s="121">
        <v>6848400</v>
      </c>
      <c r="K90" s="339" t="s">
        <v>148</v>
      </c>
      <c r="L90" s="339" t="s">
        <v>123</v>
      </c>
      <c r="M90" s="62">
        <v>1</v>
      </c>
      <c r="N90" s="339" t="s">
        <v>126</v>
      </c>
      <c r="O90" s="62" t="s">
        <v>138</v>
      </c>
      <c r="P90" s="121">
        <f>J90*M90</f>
        <v>6848400</v>
      </c>
      <c r="Q90" s="86" t="s">
        <v>148</v>
      </c>
    </row>
    <row r="91" spans="1:17" ht="17.100000000000001" customHeight="1">
      <c r="A91" s="39"/>
      <c r="B91" s="336"/>
      <c r="C91" s="426" t="s">
        <v>363</v>
      </c>
      <c r="D91" s="413">
        <v>10542</v>
      </c>
      <c r="E91" s="416">
        <f>+P91/1000</f>
        <v>64287</v>
      </c>
      <c r="F91" s="409">
        <v>6500</v>
      </c>
      <c r="G91" s="408">
        <f>+E91-D91</f>
        <v>53745</v>
      </c>
      <c r="H91" s="442">
        <f t="shared" si="2"/>
        <v>509.81787137165622</v>
      </c>
      <c r="I91" s="42"/>
      <c r="J91" s="43"/>
      <c r="K91" s="332"/>
      <c r="L91" s="332"/>
      <c r="M91" s="425" t="s">
        <v>162</v>
      </c>
      <c r="N91" s="425"/>
      <c r="O91" s="425"/>
      <c r="P91" s="43">
        <f>SUM(P92:P94)</f>
        <v>64287000</v>
      </c>
      <c r="Q91" s="38" t="s">
        <v>148</v>
      </c>
    </row>
    <row r="92" spans="1:17" ht="17.100000000000001" customHeight="1">
      <c r="A92" s="39"/>
      <c r="B92" s="336"/>
      <c r="C92" s="427"/>
      <c r="D92" s="413"/>
      <c r="E92" s="416"/>
      <c r="F92" s="410"/>
      <c r="G92" s="408"/>
      <c r="H92" s="442" t="e">
        <f t="shared" si="2"/>
        <v>#DIV/0!</v>
      </c>
      <c r="I92" s="45" t="s">
        <v>179</v>
      </c>
      <c r="J92" s="31">
        <v>4000000</v>
      </c>
      <c r="K92" s="47" t="s">
        <v>148</v>
      </c>
      <c r="L92" s="48" t="s">
        <v>123</v>
      </c>
      <c r="M92" s="47">
        <v>1</v>
      </c>
      <c r="N92" s="47" t="s">
        <v>126</v>
      </c>
      <c r="O92" s="55" t="s">
        <v>138</v>
      </c>
      <c r="P92" s="31">
        <f>J92*M92</f>
        <v>4000000</v>
      </c>
      <c r="Q92" s="49" t="s">
        <v>148</v>
      </c>
    </row>
    <row r="93" spans="1:17" ht="17.100000000000001" customHeight="1">
      <c r="A93" s="39"/>
      <c r="B93" s="336"/>
      <c r="C93" s="427"/>
      <c r="D93" s="413"/>
      <c r="E93" s="416"/>
      <c r="F93" s="410"/>
      <c r="G93" s="408"/>
      <c r="H93" s="419"/>
      <c r="I93" s="51" t="s">
        <v>4</v>
      </c>
      <c r="J93" s="31">
        <v>53745000</v>
      </c>
      <c r="K93" s="47" t="s">
        <v>148</v>
      </c>
      <c r="L93" s="48" t="s">
        <v>123</v>
      </c>
      <c r="M93" s="47">
        <v>1</v>
      </c>
      <c r="N93" s="47" t="s">
        <v>126</v>
      </c>
      <c r="O93" s="55" t="s">
        <v>138</v>
      </c>
      <c r="P93" s="31">
        <f>J93*M93</f>
        <v>53745000</v>
      </c>
      <c r="Q93" s="49" t="s">
        <v>148</v>
      </c>
    </row>
    <row r="94" spans="1:17" ht="15.95" customHeight="1">
      <c r="A94" s="132"/>
      <c r="B94" s="97"/>
      <c r="C94" s="431"/>
      <c r="D94" s="432"/>
      <c r="E94" s="447"/>
      <c r="F94" s="445"/>
      <c r="G94" s="446">
        <f>+E94-D94</f>
        <v>0</v>
      </c>
      <c r="H94" s="443" t="e">
        <f t="shared" si="2"/>
        <v>#DIV/0!</v>
      </c>
      <c r="I94" s="133" t="s">
        <v>363</v>
      </c>
      <c r="J94" s="134">
        <v>6542000</v>
      </c>
      <c r="K94" s="100" t="s">
        <v>148</v>
      </c>
      <c r="L94" s="101" t="s">
        <v>123</v>
      </c>
      <c r="M94" s="100">
        <v>1</v>
      </c>
      <c r="N94" s="100" t="s">
        <v>126</v>
      </c>
      <c r="O94" s="102" t="s">
        <v>138</v>
      </c>
      <c r="P94" s="134">
        <f>SUM(J94*M94)</f>
        <v>6542000</v>
      </c>
      <c r="Q94" s="103" t="s">
        <v>148</v>
      </c>
    </row>
    <row r="103" spans="1:17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</row>
  </sheetData>
  <mergeCells count="134">
    <mergeCell ref="C78:C81"/>
    <mergeCell ref="D78:D81"/>
    <mergeCell ref="E78:E81"/>
    <mergeCell ref="G78:G81"/>
    <mergeCell ref="H78:H81"/>
    <mergeCell ref="M18:O18"/>
    <mergeCell ref="E20:E24"/>
    <mergeCell ref="G20:G24"/>
    <mergeCell ref="A6:C6"/>
    <mergeCell ref="H20:H24"/>
    <mergeCell ref="C9:C17"/>
    <mergeCell ref="D9:D17"/>
    <mergeCell ref="E9:E17"/>
    <mergeCell ref="F29:F32"/>
    <mergeCell ref="C29:C32"/>
    <mergeCell ref="D29:D32"/>
    <mergeCell ref="E29:E32"/>
    <mergeCell ref="G29:G32"/>
    <mergeCell ref="H29:H32"/>
    <mergeCell ref="C18:C19"/>
    <mergeCell ref="D18:D19"/>
    <mergeCell ref="E18:E19"/>
    <mergeCell ref="G18:G19"/>
    <mergeCell ref="H18:H19"/>
    <mergeCell ref="A1:Q1"/>
    <mergeCell ref="F35:F36"/>
    <mergeCell ref="D20:D24"/>
    <mergeCell ref="M9:O9"/>
    <mergeCell ref="E4:E5"/>
    <mergeCell ref="A4:A5"/>
    <mergeCell ref="B33:C33"/>
    <mergeCell ref="F4:F5"/>
    <mergeCell ref="B4:B5"/>
    <mergeCell ref="M29:O29"/>
    <mergeCell ref="H35:H36"/>
    <mergeCell ref="E25:E26"/>
    <mergeCell ref="G25:G26"/>
    <mergeCell ref="H25:H26"/>
    <mergeCell ref="E35:E36"/>
    <mergeCell ref="G35:G36"/>
    <mergeCell ref="C4:C5"/>
    <mergeCell ref="G4:H4"/>
    <mergeCell ref="C20:C24"/>
    <mergeCell ref="G9:G17"/>
    <mergeCell ref="H9:H17"/>
    <mergeCell ref="C35:C36"/>
    <mergeCell ref="I4:Q5"/>
    <mergeCell ref="B7:C7"/>
    <mergeCell ref="D75:D77"/>
    <mergeCell ref="E75:E77"/>
    <mergeCell ref="F75:F77"/>
    <mergeCell ref="O3:Q3"/>
    <mergeCell ref="F20:F24"/>
    <mergeCell ref="D4:D5"/>
    <mergeCell ref="E50:E54"/>
    <mergeCell ref="C56:C57"/>
    <mergeCell ref="D56:D57"/>
    <mergeCell ref="E56:E57"/>
    <mergeCell ref="C41:C45"/>
    <mergeCell ref="B27:C27"/>
    <mergeCell ref="D35:D36"/>
    <mergeCell ref="B37:C37"/>
    <mergeCell ref="D39:D40"/>
    <mergeCell ref="E39:E40"/>
    <mergeCell ref="M20:O20"/>
    <mergeCell ref="I29:J29"/>
    <mergeCell ref="C39:C40"/>
    <mergeCell ref="C25:C26"/>
    <mergeCell ref="D25:D26"/>
    <mergeCell ref="M25:O25"/>
    <mergeCell ref="A3:B3"/>
    <mergeCell ref="G50:G54"/>
    <mergeCell ref="M56:O56"/>
    <mergeCell ref="G46:G49"/>
    <mergeCell ref="H46:H49"/>
    <mergeCell ref="M91:O91"/>
    <mergeCell ref="N88:O88"/>
    <mergeCell ref="N83:O83"/>
    <mergeCell ref="H91:H94"/>
    <mergeCell ref="B87:C87"/>
    <mergeCell ref="F91:F94"/>
    <mergeCell ref="B82:C82"/>
    <mergeCell ref="C91:C94"/>
    <mergeCell ref="F69:F71"/>
    <mergeCell ref="G91:G94"/>
    <mergeCell ref="G69:G71"/>
    <mergeCell ref="D91:D94"/>
    <mergeCell ref="E91:E94"/>
    <mergeCell ref="F78:F79"/>
    <mergeCell ref="M78:O78"/>
    <mergeCell ref="C72:C74"/>
    <mergeCell ref="D72:D74"/>
    <mergeCell ref="E72:E74"/>
    <mergeCell ref="F72:F74"/>
    <mergeCell ref="M72:O72"/>
    <mergeCell ref="C75:C77"/>
    <mergeCell ref="G75:G77"/>
    <mergeCell ref="H75:H77"/>
    <mergeCell ref="M75:O75"/>
    <mergeCell ref="M41:O41"/>
    <mergeCell ref="M46:O46"/>
    <mergeCell ref="H41:H45"/>
    <mergeCell ref="C69:C71"/>
    <mergeCell ref="B67:C67"/>
    <mergeCell ref="C50:C54"/>
    <mergeCell ref="D50:D54"/>
    <mergeCell ref="D41:D45"/>
    <mergeCell ref="D58:D66"/>
    <mergeCell ref="C58:C66"/>
    <mergeCell ref="E41:E45"/>
    <mergeCell ref="C46:C49"/>
    <mergeCell ref="D46:D49"/>
    <mergeCell ref="E46:E49"/>
    <mergeCell ref="H58:H66"/>
    <mergeCell ref="M69:O69"/>
    <mergeCell ref="H69:H71"/>
    <mergeCell ref="M50:O50"/>
    <mergeCell ref="H50:H54"/>
    <mergeCell ref="F56:F57"/>
    <mergeCell ref="G56:G57"/>
    <mergeCell ref="G39:G40"/>
    <mergeCell ref="F58:F66"/>
    <mergeCell ref="D69:D71"/>
    <mergeCell ref="E69:E71"/>
    <mergeCell ref="G72:G74"/>
    <mergeCell ref="H72:H74"/>
    <mergeCell ref="H39:H40"/>
    <mergeCell ref="F39:F40"/>
    <mergeCell ref="E58:E66"/>
    <mergeCell ref="G58:G66"/>
    <mergeCell ref="H56:H57"/>
    <mergeCell ref="F41:F42"/>
    <mergeCell ref="G41:G45"/>
    <mergeCell ref="F46:F47"/>
  </mergeCells>
  <phoneticPr fontId="6" type="noConversion"/>
  <printOptions horizontalCentered="1"/>
  <pageMargins left="0.27559055118110237" right="0.27559055118110237" top="0.59055118110236227" bottom="0.39370078740157483" header="0.39370078740157483" footer="0.19685039370078741"/>
  <pageSetup paperSize="9" scale="93" orientation="landscape" r:id="rId1"/>
  <headerFooter>
    <oddFooter>&amp;C&amp;"맑은 고딕,Regular"&amp;P</oddFooter>
  </headerFooter>
  <rowBreaks count="2" manualBreakCount="2">
    <brk id="34" max="1048575" man="1"/>
    <brk id="66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AF324"/>
  <sheetViews>
    <sheetView tabSelected="1" view="pageBreakPreview" zoomScaleNormal="100" zoomScaleSheetLayoutView="100" workbookViewId="0">
      <pane ySplit="4" topLeftCell="A5" activePane="bottomLeft" state="frozen"/>
      <selection pane="bottomLeft" activeCell="T50" sqref="T50"/>
    </sheetView>
  </sheetViews>
  <sheetFormatPr defaultColWidth="9" defaultRowHeight="17.25"/>
  <cols>
    <col min="1" max="1" width="6.625" style="135" customWidth="1"/>
    <col min="2" max="2" width="6.625" style="111" customWidth="1"/>
    <col min="3" max="3" width="12.75" style="111" customWidth="1"/>
    <col min="4" max="5" width="13.125" style="135" customWidth="1"/>
    <col min="6" max="6" width="13.125" style="135" hidden="1" customWidth="1"/>
    <col min="7" max="7" width="10.625" style="138" customWidth="1"/>
    <col min="8" max="8" width="9.625" style="139" customWidth="1"/>
    <col min="9" max="9" width="28" style="140" customWidth="1"/>
    <col min="10" max="10" width="12.75" style="31" customWidth="1"/>
    <col min="11" max="11" width="3.125" style="30" customWidth="1"/>
    <col min="12" max="12" width="3.125" style="47" customWidth="1"/>
    <col min="13" max="13" width="4.25" style="47" customWidth="1"/>
    <col min="14" max="15" width="3.125" style="47" customWidth="1"/>
    <col min="16" max="16" width="14.375" style="31" customWidth="1"/>
    <col min="17" max="17" width="2.625" style="30" customWidth="1"/>
    <col min="18" max="28" width="12.5" style="5" customWidth="1"/>
    <col min="29" max="29" width="14.125" style="5" customWidth="1"/>
    <col min="30" max="30" width="13.625" style="6" bestFit="1" customWidth="1"/>
    <col min="31" max="31" width="13.125" style="141" customWidth="1"/>
    <col min="32" max="32" width="12.625" style="141" customWidth="1"/>
    <col min="33" max="33" width="12.625" style="5" customWidth="1"/>
    <col min="34" max="16384" width="9" style="5"/>
  </cols>
  <sheetData>
    <row r="1" spans="1:32" ht="20.25">
      <c r="A1" s="581" t="s">
        <v>263</v>
      </c>
      <c r="B1" s="581"/>
    </row>
    <row r="2" spans="1:32" ht="12.75" customHeight="1" thickBot="1">
      <c r="A2" s="582"/>
      <c r="B2" s="582"/>
      <c r="C2" s="7"/>
      <c r="D2" s="142"/>
      <c r="E2" s="142"/>
      <c r="F2" s="142"/>
      <c r="G2" s="143"/>
      <c r="H2" s="144"/>
      <c r="I2" s="7" t="s">
        <v>161</v>
      </c>
      <c r="J2" s="142"/>
      <c r="K2" s="7"/>
      <c r="L2" s="7"/>
      <c r="M2" s="7"/>
      <c r="N2" s="7"/>
      <c r="O2" s="451" t="s">
        <v>25</v>
      </c>
      <c r="P2" s="451"/>
      <c r="Q2" s="451"/>
    </row>
    <row r="3" spans="1:32" ht="17.25" customHeight="1">
      <c r="A3" s="461" t="s">
        <v>165</v>
      </c>
      <c r="B3" s="480" t="s">
        <v>125</v>
      </c>
      <c r="C3" s="575" t="s">
        <v>122</v>
      </c>
      <c r="D3" s="452" t="s">
        <v>421</v>
      </c>
      <c r="E3" s="452" t="s">
        <v>422</v>
      </c>
      <c r="F3" s="539" t="s">
        <v>184</v>
      </c>
      <c r="G3" s="577" t="s">
        <v>366</v>
      </c>
      <c r="H3" s="577"/>
      <c r="I3" s="575" t="s">
        <v>424</v>
      </c>
      <c r="J3" s="575"/>
      <c r="K3" s="575"/>
      <c r="L3" s="575"/>
      <c r="M3" s="575"/>
      <c r="N3" s="575"/>
      <c r="O3" s="575"/>
      <c r="P3" s="575"/>
      <c r="Q3" s="575"/>
    </row>
    <row r="4" spans="1:32" ht="20.25" customHeight="1" thickBot="1">
      <c r="A4" s="462"/>
      <c r="B4" s="482"/>
      <c r="C4" s="576"/>
      <c r="D4" s="453"/>
      <c r="E4" s="453"/>
      <c r="F4" s="540"/>
      <c r="G4" s="145" t="s">
        <v>142</v>
      </c>
      <c r="H4" s="146" t="s">
        <v>172</v>
      </c>
      <c r="I4" s="576"/>
      <c r="J4" s="576"/>
      <c r="K4" s="576"/>
      <c r="L4" s="576"/>
      <c r="M4" s="576"/>
      <c r="N4" s="576"/>
      <c r="O4" s="576"/>
      <c r="P4" s="576"/>
      <c r="Q4" s="576"/>
    </row>
    <row r="5" spans="1:32" ht="19.5" customHeight="1" thickBot="1">
      <c r="A5" s="485" t="s">
        <v>171</v>
      </c>
      <c r="B5" s="486"/>
      <c r="C5" s="487"/>
      <c r="D5" s="147">
        <f>SUM(D6,D82,D89,D209,D305,D301)</f>
        <v>8393197.0000500008</v>
      </c>
      <c r="E5" s="147">
        <f>SUM(E6,E82,E89,E209,E305,E301)</f>
        <v>9472994.8286646008</v>
      </c>
      <c r="F5" s="148" t="e">
        <f>SUM(F6,F82,F89,F209,#REF!,F305)</f>
        <v>#REF!</v>
      </c>
      <c r="G5" s="149">
        <f>+E5-D5</f>
        <v>1079797.8286146</v>
      </c>
      <c r="H5" s="150">
        <f t="shared" ref="H5:H37" si="0">+G5/D5*100</f>
        <v>12.865155299085288</v>
      </c>
      <c r="I5" s="151"/>
      <c r="J5" s="16"/>
      <c r="K5" s="17"/>
      <c r="L5" s="17"/>
      <c r="M5" s="16"/>
      <c r="N5" s="16"/>
      <c r="O5" s="152"/>
      <c r="P5" s="153">
        <f>SUM(P6,P82,P89,P209,P301,P305)</f>
        <v>9472994828.6646004</v>
      </c>
      <c r="Q5" s="154" t="s">
        <v>148</v>
      </c>
    </row>
    <row r="6" spans="1:32" ht="20.100000000000001" customHeight="1" thickTop="1" thickBot="1">
      <c r="A6" s="20" t="s">
        <v>132</v>
      </c>
      <c r="B6" s="583" t="s">
        <v>168</v>
      </c>
      <c r="C6" s="584"/>
      <c r="D6" s="155">
        <f>SUM(D7,D36,D51)</f>
        <v>1500623</v>
      </c>
      <c r="E6" s="155">
        <f>SUM(E7,E36,E51)</f>
        <v>1552521.7098449999</v>
      </c>
      <c r="F6" s="156">
        <f>SUM(F7,F36,F51)</f>
        <v>869305</v>
      </c>
      <c r="G6" s="157">
        <f>+E6-D6</f>
        <v>51898.709844999947</v>
      </c>
      <c r="H6" s="158">
        <f t="shared" si="0"/>
        <v>3.4584775686498168</v>
      </c>
      <c r="I6" s="159"/>
      <c r="J6" s="160"/>
      <c r="K6" s="161"/>
      <c r="L6" s="162"/>
      <c r="M6" s="162"/>
      <c r="N6" s="162"/>
      <c r="O6" s="162"/>
      <c r="P6" s="163">
        <f>SUM(P7,P36,P51)</f>
        <v>1552521709.8450003</v>
      </c>
      <c r="Q6" s="164" t="s">
        <v>148</v>
      </c>
    </row>
    <row r="7" spans="1:32" ht="20.100000000000001" customHeight="1" thickTop="1" thickBot="1">
      <c r="A7" s="165"/>
      <c r="B7" s="344" t="s">
        <v>174</v>
      </c>
      <c r="C7" s="166" t="s">
        <v>169</v>
      </c>
      <c r="D7" s="167">
        <f>SUM(D8:D34)</f>
        <v>1091924</v>
      </c>
      <c r="E7" s="167">
        <f>SUM(E8:E34)</f>
        <v>1117422.50988</v>
      </c>
      <c r="F7" s="168">
        <f>SUM(F8:F34)-1</f>
        <v>582084</v>
      </c>
      <c r="G7" s="169">
        <f>+E7-D7</f>
        <v>25498.509880000027</v>
      </c>
      <c r="H7" s="170">
        <f t="shared" si="0"/>
        <v>2.3351908997329507</v>
      </c>
      <c r="I7" s="171"/>
      <c r="J7" s="298"/>
      <c r="K7" s="299"/>
      <c r="L7" s="384"/>
      <c r="M7" s="384"/>
      <c r="N7" s="384"/>
      <c r="O7" s="384"/>
      <c r="P7" s="298">
        <f>SUM(P8,P13,P22,P24,P30)</f>
        <v>1117422509.8800001</v>
      </c>
      <c r="Q7" s="86" t="s">
        <v>148</v>
      </c>
      <c r="R7" s="172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32" ht="15.95" customHeight="1" thickTop="1" thickBot="1">
      <c r="A8" s="165"/>
      <c r="B8" s="336"/>
      <c r="C8" s="494" t="s">
        <v>159</v>
      </c>
      <c r="D8" s="550">
        <v>793846</v>
      </c>
      <c r="E8" s="488">
        <f>P8/1000</f>
        <v>841696</v>
      </c>
      <c r="F8" s="370">
        <v>351377</v>
      </c>
      <c r="G8" s="488">
        <f>E8-D8</f>
        <v>47850</v>
      </c>
      <c r="H8" s="491">
        <f t="shared" si="0"/>
        <v>6.0276174472126831</v>
      </c>
      <c r="I8" s="42"/>
      <c r="J8" s="43"/>
      <c r="K8" s="89"/>
      <c r="L8" s="332"/>
      <c r="M8" s="332" t="s">
        <v>162</v>
      </c>
      <c r="N8" s="332"/>
      <c r="O8" s="332"/>
      <c r="P8" s="43">
        <f>SUM(P9:P12)</f>
        <v>841696000</v>
      </c>
      <c r="Q8" s="38" t="s">
        <v>148</v>
      </c>
      <c r="R8" s="6"/>
      <c r="S8" s="173"/>
      <c r="T8" s="6"/>
      <c r="U8" s="6"/>
      <c r="V8" s="6"/>
      <c r="W8" s="6"/>
      <c r="X8" s="6"/>
      <c r="Y8" s="6"/>
      <c r="Z8" s="6"/>
      <c r="AA8" s="6"/>
      <c r="AB8" s="6"/>
      <c r="AC8" s="6"/>
    </row>
    <row r="9" spans="1:32" ht="15.95" customHeight="1">
      <c r="A9" s="165"/>
      <c r="B9" s="336"/>
      <c r="C9" s="495"/>
      <c r="D9" s="551"/>
      <c r="E9" s="489"/>
      <c r="F9" s="371"/>
      <c r="G9" s="489"/>
      <c r="H9" s="492"/>
      <c r="I9" s="51" t="s">
        <v>176</v>
      </c>
      <c r="J9" s="298">
        <v>35276750</v>
      </c>
      <c r="K9" s="299" t="s">
        <v>148</v>
      </c>
      <c r="L9" s="300" t="s">
        <v>123</v>
      </c>
      <c r="M9" s="384">
        <v>12</v>
      </c>
      <c r="N9" s="384" t="s">
        <v>131</v>
      </c>
      <c r="O9" s="301" t="s">
        <v>138</v>
      </c>
      <c r="P9" s="307">
        <f>J9*M9</f>
        <v>423321000</v>
      </c>
      <c r="Q9" s="49" t="s">
        <v>148</v>
      </c>
      <c r="R9" s="6"/>
      <c r="S9" s="174"/>
      <c r="T9" s="6"/>
      <c r="U9" s="6"/>
      <c r="V9" s="6"/>
      <c r="W9" s="6"/>
      <c r="X9" s="6"/>
      <c r="Y9" s="6"/>
      <c r="Z9" s="6"/>
      <c r="AA9" s="6"/>
      <c r="AB9" s="6"/>
      <c r="AC9" s="6"/>
    </row>
    <row r="10" spans="1:32" ht="15.95" customHeight="1">
      <c r="A10" s="165"/>
      <c r="B10" s="336"/>
      <c r="C10" s="495"/>
      <c r="D10" s="551"/>
      <c r="E10" s="489"/>
      <c r="F10" s="371"/>
      <c r="G10" s="489"/>
      <c r="H10" s="492"/>
      <c r="I10" s="51" t="s">
        <v>297</v>
      </c>
      <c r="J10" s="298">
        <v>31398000</v>
      </c>
      <c r="K10" s="299" t="s">
        <v>148</v>
      </c>
      <c r="L10" s="300" t="s">
        <v>123</v>
      </c>
      <c r="M10" s="384">
        <v>4.5</v>
      </c>
      <c r="N10" s="384" t="s">
        <v>126</v>
      </c>
      <c r="O10" s="301" t="s">
        <v>138</v>
      </c>
      <c r="P10" s="298">
        <f>J10*M10</f>
        <v>141291000</v>
      </c>
      <c r="Q10" s="49" t="s">
        <v>148</v>
      </c>
      <c r="R10" s="6"/>
      <c r="S10" s="174"/>
      <c r="T10" s="6"/>
      <c r="U10" s="6"/>
      <c r="V10" s="6"/>
      <c r="W10" s="6"/>
      <c r="X10" s="6"/>
      <c r="Y10" s="6"/>
      <c r="Z10" s="6"/>
      <c r="AA10" s="6"/>
      <c r="AB10" s="6"/>
      <c r="AC10" s="6"/>
    </row>
    <row r="11" spans="1:32" ht="15.95" customHeight="1">
      <c r="A11" s="165"/>
      <c r="B11" s="336"/>
      <c r="C11" s="495"/>
      <c r="D11" s="551"/>
      <c r="E11" s="489"/>
      <c r="F11" s="372"/>
      <c r="G11" s="489"/>
      <c r="H11" s="492"/>
      <c r="I11" s="51" t="s">
        <v>192</v>
      </c>
      <c r="J11" s="298">
        <v>31637000</v>
      </c>
      <c r="K11" s="299" t="s">
        <v>148</v>
      </c>
      <c r="L11" s="300" t="s">
        <v>123</v>
      </c>
      <c r="M11" s="384">
        <v>2</v>
      </c>
      <c r="N11" s="384" t="s">
        <v>126</v>
      </c>
      <c r="O11" s="301" t="s">
        <v>138</v>
      </c>
      <c r="P11" s="298">
        <f>J11*M11</f>
        <v>63274000</v>
      </c>
      <c r="Q11" s="49" t="s">
        <v>148</v>
      </c>
      <c r="R11" s="6"/>
      <c r="S11" s="174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32" ht="15.95" customHeight="1">
      <c r="A12" s="165"/>
      <c r="B12" s="336"/>
      <c r="C12" s="496"/>
      <c r="D12" s="552"/>
      <c r="E12" s="490"/>
      <c r="F12" s="371"/>
      <c r="G12" s="490"/>
      <c r="H12" s="493"/>
      <c r="I12" s="45" t="s">
        <v>183</v>
      </c>
      <c r="J12" s="298">
        <v>17817500</v>
      </c>
      <c r="K12" s="299" t="s">
        <v>148</v>
      </c>
      <c r="L12" s="300" t="s">
        <v>123</v>
      </c>
      <c r="M12" s="384">
        <v>12</v>
      </c>
      <c r="N12" s="384" t="s">
        <v>131</v>
      </c>
      <c r="O12" s="301" t="s">
        <v>138</v>
      </c>
      <c r="P12" s="298">
        <f>J12*M12</f>
        <v>213810000</v>
      </c>
      <c r="Q12" s="49" t="s">
        <v>148</v>
      </c>
      <c r="R12" s="6"/>
      <c r="S12" s="174"/>
      <c r="T12" s="6"/>
      <c r="U12" s="6"/>
      <c r="V12" s="6"/>
      <c r="W12" s="6"/>
      <c r="X12" s="6"/>
      <c r="Y12" s="6"/>
      <c r="Z12" s="6"/>
      <c r="AA12" s="6"/>
      <c r="AB12" s="6"/>
      <c r="AC12" s="6"/>
    </row>
    <row r="13" spans="1:32" s="30" customFormat="1" ht="15.95" customHeight="1">
      <c r="A13" s="39"/>
      <c r="B13" s="336"/>
      <c r="C13" s="494" t="s">
        <v>156</v>
      </c>
      <c r="D13" s="497">
        <v>104708</v>
      </c>
      <c r="E13" s="497">
        <f>+P13/1000</f>
        <v>104708.09987999999</v>
      </c>
      <c r="F13" s="533">
        <v>102644</v>
      </c>
      <c r="G13" s="488">
        <f>+E13-D13</f>
        <v>9.9879999994300306E-2</v>
      </c>
      <c r="H13" s="503">
        <f t="shared" si="0"/>
        <v>9.5389082013122494E-5</v>
      </c>
      <c r="I13" s="42"/>
      <c r="J13" s="43"/>
      <c r="K13" s="89"/>
      <c r="L13" s="332"/>
      <c r="M13" s="425" t="s">
        <v>162</v>
      </c>
      <c r="N13" s="425"/>
      <c r="O13" s="425"/>
      <c r="P13" s="43">
        <f>SUM(P14:P21)</f>
        <v>104708099.88</v>
      </c>
      <c r="Q13" s="38" t="s">
        <v>148</v>
      </c>
      <c r="AD13" s="6"/>
      <c r="AE13" s="141"/>
      <c r="AF13" s="141"/>
    </row>
    <row r="14" spans="1:32" s="30" customFormat="1" ht="15.95" customHeight="1">
      <c r="A14" s="39"/>
      <c r="B14" s="336"/>
      <c r="C14" s="495"/>
      <c r="D14" s="498"/>
      <c r="E14" s="498"/>
      <c r="F14" s="534"/>
      <c r="G14" s="489"/>
      <c r="H14" s="504"/>
      <c r="I14" s="51" t="s">
        <v>160</v>
      </c>
      <c r="J14" s="298">
        <v>3144058.33</v>
      </c>
      <c r="K14" s="299" t="s">
        <v>148</v>
      </c>
      <c r="L14" s="300" t="s">
        <v>123</v>
      </c>
      <c r="M14" s="384">
        <v>12</v>
      </c>
      <c r="N14" s="384" t="s">
        <v>131</v>
      </c>
      <c r="O14" s="301" t="s">
        <v>138</v>
      </c>
      <c r="P14" s="298">
        <f>(J14*M14)</f>
        <v>37728699.960000001</v>
      </c>
      <c r="Q14" s="49" t="s">
        <v>148</v>
      </c>
      <c r="AD14" s="6"/>
      <c r="AE14" s="141"/>
      <c r="AF14" s="141"/>
    </row>
    <row r="15" spans="1:32" s="30" customFormat="1" ht="15.95" customHeight="1">
      <c r="A15" s="39"/>
      <c r="B15" s="336"/>
      <c r="C15" s="495"/>
      <c r="D15" s="498"/>
      <c r="E15" s="498"/>
      <c r="F15" s="534"/>
      <c r="G15" s="489"/>
      <c r="H15" s="504"/>
      <c r="I15" s="51" t="s">
        <v>141</v>
      </c>
      <c r="J15" s="298">
        <v>730000</v>
      </c>
      <c r="K15" s="299" t="s">
        <v>148</v>
      </c>
      <c r="L15" s="300" t="s">
        <v>123</v>
      </c>
      <c r="M15" s="384">
        <v>12</v>
      </c>
      <c r="N15" s="384" t="s">
        <v>131</v>
      </c>
      <c r="O15" s="301" t="s">
        <v>138</v>
      </c>
      <c r="P15" s="298">
        <f t="shared" ref="P15:P21" si="1">(J15*M15)</f>
        <v>8760000</v>
      </c>
      <c r="Q15" s="49" t="s">
        <v>148</v>
      </c>
      <c r="AD15" s="6"/>
      <c r="AE15" s="141"/>
      <c r="AF15" s="141"/>
    </row>
    <row r="16" spans="1:32" s="30" customFormat="1" ht="15.95" customHeight="1">
      <c r="A16" s="39"/>
      <c r="B16" s="336"/>
      <c r="C16" s="495"/>
      <c r="D16" s="498"/>
      <c r="E16" s="498"/>
      <c r="F16" s="534"/>
      <c r="G16" s="489"/>
      <c r="H16" s="504"/>
      <c r="I16" s="51" t="s">
        <v>170</v>
      </c>
      <c r="J16" s="298">
        <v>1501666.66</v>
      </c>
      <c r="K16" s="299" t="s">
        <v>148</v>
      </c>
      <c r="L16" s="300" t="s">
        <v>123</v>
      </c>
      <c r="M16" s="384">
        <v>12</v>
      </c>
      <c r="N16" s="384" t="s">
        <v>131</v>
      </c>
      <c r="O16" s="301" t="s">
        <v>138</v>
      </c>
      <c r="P16" s="298">
        <f t="shared" si="1"/>
        <v>18019999.919999998</v>
      </c>
      <c r="Q16" s="49" t="s">
        <v>148</v>
      </c>
      <c r="AD16" s="6"/>
      <c r="AE16" s="141"/>
      <c r="AF16" s="141"/>
    </row>
    <row r="17" spans="1:32" s="30" customFormat="1" ht="15.95" customHeight="1">
      <c r="A17" s="39"/>
      <c r="B17" s="336"/>
      <c r="C17" s="495"/>
      <c r="D17" s="498"/>
      <c r="E17" s="498"/>
      <c r="F17" s="534"/>
      <c r="G17" s="489"/>
      <c r="H17" s="504"/>
      <c r="I17" s="51" t="s">
        <v>139</v>
      </c>
      <c r="J17" s="298">
        <v>1160000</v>
      </c>
      <c r="K17" s="299" t="s">
        <v>148</v>
      </c>
      <c r="L17" s="300" t="s">
        <v>123</v>
      </c>
      <c r="M17" s="384">
        <v>12</v>
      </c>
      <c r="N17" s="384" t="s">
        <v>131</v>
      </c>
      <c r="O17" s="301" t="s">
        <v>138</v>
      </c>
      <c r="P17" s="298">
        <f t="shared" si="1"/>
        <v>13920000</v>
      </c>
      <c r="Q17" s="49" t="s">
        <v>148</v>
      </c>
      <c r="AD17" s="6"/>
      <c r="AE17" s="141"/>
      <c r="AF17" s="141"/>
    </row>
    <row r="18" spans="1:32" s="30" customFormat="1" ht="15.95" customHeight="1">
      <c r="A18" s="39"/>
      <c r="B18" s="336"/>
      <c r="C18" s="495"/>
      <c r="D18" s="498"/>
      <c r="E18" s="498"/>
      <c r="F18" s="534"/>
      <c r="G18" s="489"/>
      <c r="H18" s="504"/>
      <c r="I18" s="51" t="s">
        <v>164</v>
      </c>
      <c r="J18" s="298">
        <v>1500000</v>
      </c>
      <c r="K18" s="299" t="s">
        <v>148</v>
      </c>
      <c r="L18" s="300" t="s">
        <v>123</v>
      </c>
      <c r="M18" s="384">
        <v>12</v>
      </c>
      <c r="N18" s="384" t="s">
        <v>131</v>
      </c>
      <c r="O18" s="301" t="s">
        <v>138</v>
      </c>
      <c r="P18" s="298">
        <f t="shared" si="1"/>
        <v>18000000</v>
      </c>
      <c r="Q18" s="49" t="s">
        <v>148</v>
      </c>
      <c r="AD18" s="6"/>
      <c r="AE18" s="141"/>
      <c r="AF18" s="141"/>
    </row>
    <row r="19" spans="1:32" s="30" customFormat="1" ht="15.95" customHeight="1">
      <c r="A19" s="39"/>
      <c r="B19" s="336"/>
      <c r="C19" s="495"/>
      <c r="D19" s="498"/>
      <c r="E19" s="498"/>
      <c r="F19" s="534"/>
      <c r="G19" s="489"/>
      <c r="H19" s="504"/>
      <c r="I19" s="51" t="s">
        <v>223</v>
      </c>
      <c r="J19" s="298">
        <v>100000</v>
      </c>
      <c r="K19" s="299" t="s">
        <v>148</v>
      </c>
      <c r="L19" s="300" t="s">
        <v>123</v>
      </c>
      <c r="M19" s="384">
        <v>12</v>
      </c>
      <c r="N19" s="384" t="s">
        <v>131</v>
      </c>
      <c r="O19" s="301" t="s">
        <v>138</v>
      </c>
      <c r="P19" s="298">
        <f t="shared" si="1"/>
        <v>1200000</v>
      </c>
      <c r="Q19" s="49" t="s">
        <v>148</v>
      </c>
      <c r="AD19" s="6"/>
      <c r="AE19" s="141"/>
      <c r="AF19" s="141"/>
    </row>
    <row r="20" spans="1:32" s="30" customFormat="1" ht="15.95" customHeight="1">
      <c r="A20" s="39"/>
      <c r="B20" s="336"/>
      <c r="C20" s="495"/>
      <c r="D20" s="498"/>
      <c r="E20" s="498"/>
      <c r="F20" s="371"/>
      <c r="G20" s="489"/>
      <c r="H20" s="504"/>
      <c r="I20" s="297" t="s">
        <v>298</v>
      </c>
      <c r="J20" s="298">
        <v>279400</v>
      </c>
      <c r="K20" s="299" t="s">
        <v>148</v>
      </c>
      <c r="L20" s="300" t="s">
        <v>123</v>
      </c>
      <c r="M20" s="384">
        <v>1</v>
      </c>
      <c r="N20" s="384" t="s">
        <v>131</v>
      </c>
      <c r="O20" s="301" t="s">
        <v>138</v>
      </c>
      <c r="P20" s="298">
        <f>(J20*M20)</f>
        <v>279400</v>
      </c>
      <c r="Q20" s="49" t="s">
        <v>148</v>
      </c>
      <c r="AD20" s="6"/>
      <c r="AE20" s="141"/>
      <c r="AF20" s="141"/>
    </row>
    <row r="21" spans="1:32" s="30" customFormat="1" ht="15.95" customHeight="1">
      <c r="A21" s="39"/>
      <c r="B21" s="336"/>
      <c r="C21" s="495"/>
      <c r="D21" s="498"/>
      <c r="E21" s="498"/>
      <c r="F21" s="371"/>
      <c r="G21" s="489"/>
      <c r="H21" s="504"/>
      <c r="I21" s="338" t="s">
        <v>89</v>
      </c>
      <c r="J21" s="298">
        <v>3400000</v>
      </c>
      <c r="K21" s="299" t="s">
        <v>148</v>
      </c>
      <c r="L21" s="300" t="s">
        <v>123</v>
      </c>
      <c r="M21" s="384">
        <v>2</v>
      </c>
      <c r="N21" s="384" t="s">
        <v>126</v>
      </c>
      <c r="O21" s="301" t="s">
        <v>138</v>
      </c>
      <c r="P21" s="298">
        <f t="shared" si="1"/>
        <v>6800000</v>
      </c>
      <c r="Q21" s="49" t="s">
        <v>148</v>
      </c>
      <c r="AD21" s="6"/>
      <c r="AE21" s="141"/>
      <c r="AF21" s="141"/>
    </row>
    <row r="22" spans="1:32" s="30" customFormat="1" ht="15.95" customHeight="1">
      <c r="A22" s="39"/>
      <c r="B22" s="336"/>
      <c r="C22" s="494" t="s">
        <v>237</v>
      </c>
      <c r="D22" s="497">
        <v>74820</v>
      </c>
      <c r="E22" s="497">
        <f>(+P22/1000)</f>
        <v>73969.41</v>
      </c>
      <c r="F22" s="533">
        <v>48032</v>
      </c>
      <c r="G22" s="488">
        <f>E22-D22</f>
        <v>-850.58999999999651</v>
      </c>
      <c r="H22" s="503">
        <f t="shared" si="0"/>
        <v>-1.1368484362469879</v>
      </c>
      <c r="I22" s="175"/>
      <c r="J22" s="43"/>
      <c r="K22" s="89"/>
      <c r="L22" s="89"/>
      <c r="M22" s="425" t="s">
        <v>162</v>
      </c>
      <c r="N22" s="425"/>
      <c r="O22" s="425"/>
      <c r="P22" s="43">
        <f>SUM(P23:P23)</f>
        <v>73969410</v>
      </c>
      <c r="Q22" s="38" t="s">
        <v>148</v>
      </c>
      <c r="AD22" s="6"/>
      <c r="AE22" s="141"/>
      <c r="AF22" s="141"/>
    </row>
    <row r="23" spans="1:32" s="30" customFormat="1" ht="15.95" customHeight="1">
      <c r="A23" s="39"/>
      <c r="B23" s="336"/>
      <c r="C23" s="496"/>
      <c r="D23" s="499"/>
      <c r="E23" s="499"/>
      <c r="F23" s="535"/>
      <c r="G23" s="490">
        <f t="shared" ref="G23:G30" si="2">+E23-D23</f>
        <v>0</v>
      </c>
      <c r="H23" s="505" t="e">
        <f t="shared" si="0"/>
        <v>#DIV/0!</v>
      </c>
      <c r="I23" s="51" t="s">
        <v>237</v>
      </c>
      <c r="J23" s="298">
        <f>SUM(P8,P13,P33)-P18-P12</f>
        <v>714594099.88</v>
      </c>
      <c r="K23" s="308" t="s">
        <v>148</v>
      </c>
      <c r="L23" s="384" t="s">
        <v>150</v>
      </c>
      <c r="M23" s="384">
        <v>12</v>
      </c>
      <c r="N23" s="384"/>
      <c r="O23" s="301" t="s">
        <v>138</v>
      </c>
      <c r="P23" s="298">
        <f>ROUND(J23/12,-1)+11542400+2877430+70</f>
        <v>73969410</v>
      </c>
      <c r="Q23" s="49" t="s">
        <v>148</v>
      </c>
      <c r="AD23" s="6"/>
      <c r="AE23" s="141"/>
      <c r="AF23" s="141"/>
    </row>
    <row r="24" spans="1:32" s="30" customFormat="1" ht="15.95" customHeight="1">
      <c r="A24" s="39"/>
      <c r="B24" s="336"/>
      <c r="C24" s="588" t="s">
        <v>42</v>
      </c>
      <c r="D24" s="549">
        <v>94800</v>
      </c>
      <c r="E24" s="549">
        <f>+P24/1000</f>
        <v>96649</v>
      </c>
      <c r="F24" s="522">
        <v>55737</v>
      </c>
      <c r="G24" s="515">
        <f t="shared" si="2"/>
        <v>1849</v>
      </c>
      <c r="H24" s="517">
        <f t="shared" si="0"/>
        <v>1.9504219409282701</v>
      </c>
      <c r="I24" s="175"/>
      <c r="J24" s="43"/>
      <c r="K24" s="89"/>
      <c r="L24" s="332"/>
      <c r="M24" s="425" t="s">
        <v>162</v>
      </c>
      <c r="N24" s="425"/>
      <c r="O24" s="425"/>
      <c r="P24" s="43">
        <f>SUM(P25:P29)</f>
        <v>96649000</v>
      </c>
      <c r="Q24" s="38" t="s">
        <v>148</v>
      </c>
      <c r="AC24" s="30" t="s">
        <v>21</v>
      </c>
      <c r="AD24" s="6"/>
      <c r="AE24" s="141"/>
      <c r="AF24" s="141"/>
    </row>
    <row r="25" spans="1:32" s="30" customFormat="1" ht="15.95" customHeight="1">
      <c r="A25" s="39"/>
      <c r="B25" s="336"/>
      <c r="C25" s="588"/>
      <c r="D25" s="549"/>
      <c r="E25" s="549"/>
      <c r="F25" s="522"/>
      <c r="G25" s="515">
        <f t="shared" si="2"/>
        <v>0</v>
      </c>
      <c r="H25" s="517" t="e">
        <f t="shared" si="0"/>
        <v>#DIV/0!</v>
      </c>
      <c r="I25" s="338" t="s">
        <v>199</v>
      </c>
      <c r="J25" s="298">
        <f>SUM(P8,P13,P33)-P18</f>
        <v>928404099.88</v>
      </c>
      <c r="K25" s="299" t="s">
        <v>148</v>
      </c>
      <c r="L25" s="300" t="s">
        <v>123</v>
      </c>
      <c r="M25" s="516">
        <v>4.4999999999999998E-2</v>
      </c>
      <c r="N25" s="516"/>
      <c r="O25" s="301" t="s">
        <v>138</v>
      </c>
      <c r="P25" s="298">
        <f>ROUNDUP(SUM(J25*M25),-3)</f>
        <v>41779000</v>
      </c>
      <c r="Q25" s="49" t="s">
        <v>148</v>
      </c>
      <c r="AC25" s="176">
        <f>P12*4.5%</f>
        <v>9621450</v>
      </c>
      <c r="AD25" s="31"/>
      <c r="AE25" s="141"/>
      <c r="AF25" s="141"/>
    </row>
    <row r="26" spans="1:32" s="30" customFormat="1" ht="15.95" customHeight="1">
      <c r="A26" s="39"/>
      <c r="B26" s="336"/>
      <c r="C26" s="588"/>
      <c r="D26" s="549"/>
      <c r="E26" s="549"/>
      <c r="F26" s="522"/>
      <c r="G26" s="515">
        <f t="shared" si="2"/>
        <v>0</v>
      </c>
      <c r="H26" s="517" t="e">
        <f t="shared" si="0"/>
        <v>#DIV/0!</v>
      </c>
      <c r="I26" s="338" t="s">
        <v>243</v>
      </c>
      <c r="J26" s="298">
        <f>+J25</f>
        <v>928404099.88</v>
      </c>
      <c r="K26" s="299" t="s">
        <v>148</v>
      </c>
      <c r="L26" s="300" t="s">
        <v>123</v>
      </c>
      <c r="M26" s="514">
        <v>3.5450000000000002E-2</v>
      </c>
      <c r="N26" s="514"/>
      <c r="O26" s="384" t="s">
        <v>138</v>
      </c>
      <c r="P26" s="298">
        <f>ROUNDUP(SUM(J26*M26),-3)</f>
        <v>32912000</v>
      </c>
      <c r="Q26" s="49" t="s">
        <v>148</v>
      </c>
      <c r="AC26" s="177">
        <f>P12*M26</f>
        <v>7579564.5000000009</v>
      </c>
      <c r="AD26" s="31" t="s">
        <v>175</v>
      </c>
      <c r="AE26" s="141"/>
      <c r="AF26" s="141"/>
    </row>
    <row r="27" spans="1:32" s="30" customFormat="1" ht="15.95" customHeight="1">
      <c r="A27" s="39"/>
      <c r="B27" s="336"/>
      <c r="C27" s="588"/>
      <c r="D27" s="549"/>
      <c r="E27" s="549"/>
      <c r="F27" s="522"/>
      <c r="G27" s="515">
        <f t="shared" si="2"/>
        <v>0</v>
      </c>
      <c r="H27" s="517" t="e">
        <f t="shared" si="0"/>
        <v>#DIV/0!</v>
      </c>
      <c r="I27" s="338" t="s">
        <v>245</v>
      </c>
      <c r="J27" s="298">
        <f>+P26</f>
        <v>32912000</v>
      </c>
      <c r="K27" s="299" t="s">
        <v>148</v>
      </c>
      <c r="L27" s="300" t="s">
        <v>123</v>
      </c>
      <c r="M27" s="514">
        <v>0.12809999999999999</v>
      </c>
      <c r="N27" s="514"/>
      <c r="O27" s="384" t="s">
        <v>138</v>
      </c>
      <c r="P27" s="298">
        <f>ROUNDUP(SUM(J27*M27),-3)</f>
        <v>4217000</v>
      </c>
      <c r="Q27" s="49" t="s">
        <v>148</v>
      </c>
      <c r="AC27" s="177">
        <f>AC26*12.81%</f>
        <v>970942.21245000011</v>
      </c>
      <c r="AD27" s="31"/>
      <c r="AE27" s="141"/>
      <c r="AF27" s="141"/>
    </row>
    <row r="28" spans="1:32" s="30" customFormat="1" ht="15.95" customHeight="1">
      <c r="A28" s="39"/>
      <c r="B28" s="336"/>
      <c r="C28" s="588"/>
      <c r="D28" s="549"/>
      <c r="E28" s="549"/>
      <c r="F28" s="522"/>
      <c r="G28" s="515">
        <f t="shared" si="2"/>
        <v>0</v>
      </c>
      <c r="H28" s="517" t="e">
        <f t="shared" si="0"/>
        <v>#DIV/0!</v>
      </c>
      <c r="I28" s="338" t="s">
        <v>236</v>
      </c>
      <c r="J28" s="298">
        <v>767941200</v>
      </c>
      <c r="K28" s="299" t="s">
        <v>148</v>
      </c>
      <c r="L28" s="300" t="s">
        <v>123</v>
      </c>
      <c r="M28" s="514">
        <v>1.55E-2</v>
      </c>
      <c r="N28" s="514"/>
      <c r="O28" s="384" t="s">
        <v>138</v>
      </c>
      <c r="P28" s="298">
        <f>ROUNDUP(SUM(J28*M28),-3)</f>
        <v>11904000</v>
      </c>
      <c r="Q28" s="49" t="s">
        <v>148</v>
      </c>
      <c r="AC28" s="176">
        <f>SUM(AC25:AC27)</f>
        <v>18171956.712450001</v>
      </c>
      <c r="AD28" s="31"/>
      <c r="AE28" s="141"/>
      <c r="AF28" s="141"/>
    </row>
    <row r="29" spans="1:32" s="30" customFormat="1" ht="15.95" customHeight="1">
      <c r="A29" s="39"/>
      <c r="B29" s="336"/>
      <c r="C29" s="588"/>
      <c r="D29" s="549"/>
      <c r="E29" s="549"/>
      <c r="F29" s="522"/>
      <c r="G29" s="515">
        <f t="shared" si="2"/>
        <v>0</v>
      </c>
      <c r="H29" s="517" t="e">
        <f t="shared" si="0"/>
        <v>#DIV/0!</v>
      </c>
      <c r="I29" s="178" t="s">
        <v>209</v>
      </c>
      <c r="J29" s="52">
        <v>767941200</v>
      </c>
      <c r="K29" s="179" t="s">
        <v>148</v>
      </c>
      <c r="L29" s="72" t="s">
        <v>123</v>
      </c>
      <c r="M29" s="513">
        <v>7.6E-3</v>
      </c>
      <c r="N29" s="513"/>
      <c r="O29" s="383" t="s">
        <v>138</v>
      </c>
      <c r="P29" s="298">
        <f>ROUNDUP(SUM(J29*M29),-3)</f>
        <v>5837000</v>
      </c>
      <c r="Q29" s="74" t="s">
        <v>148</v>
      </c>
      <c r="AD29" s="31"/>
      <c r="AE29" s="141"/>
      <c r="AF29" s="141"/>
    </row>
    <row r="30" spans="1:32" s="30" customFormat="1" ht="15.95" customHeight="1">
      <c r="A30" s="39" t="s">
        <v>161</v>
      </c>
      <c r="B30" s="336"/>
      <c r="C30" s="494" t="s">
        <v>316</v>
      </c>
      <c r="D30" s="497">
        <v>23750</v>
      </c>
      <c r="E30" s="497">
        <f>+P30/1000</f>
        <v>400</v>
      </c>
      <c r="F30" s="522">
        <v>24295</v>
      </c>
      <c r="G30" s="488">
        <f t="shared" si="2"/>
        <v>-23350</v>
      </c>
      <c r="H30" s="503">
        <f t="shared" si="0"/>
        <v>-98.315789473684205</v>
      </c>
      <c r="I30" s="175"/>
      <c r="J30" s="43"/>
      <c r="K30" s="89"/>
      <c r="L30" s="332"/>
      <c r="M30" s="332" t="s">
        <v>162</v>
      </c>
      <c r="N30" s="332"/>
      <c r="O30" s="332"/>
      <c r="P30" s="43">
        <f>SUM(P31:P35)</f>
        <v>400000</v>
      </c>
      <c r="Q30" s="38" t="s">
        <v>148</v>
      </c>
      <c r="AD30" s="31"/>
      <c r="AE30" s="141"/>
      <c r="AF30" s="141"/>
    </row>
    <row r="31" spans="1:32" s="30" customFormat="1" ht="15.95" customHeight="1">
      <c r="A31" s="39"/>
      <c r="B31" s="336"/>
      <c r="C31" s="495"/>
      <c r="D31" s="498"/>
      <c r="E31" s="498"/>
      <c r="F31" s="522"/>
      <c r="G31" s="489"/>
      <c r="H31" s="504"/>
      <c r="I31" s="338" t="s">
        <v>466</v>
      </c>
      <c r="J31" s="298">
        <v>0</v>
      </c>
      <c r="K31" s="299" t="s">
        <v>148</v>
      </c>
      <c r="L31" s="300" t="s">
        <v>123</v>
      </c>
      <c r="M31" s="384">
        <v>15</v>
      </c>
      <c r="N31" s="384" t="s">
        <v>146</v>
      </c>
      <c r="O31" s="301" t="s">
        <v>138</v>
      </c>
      <c r="P31" s="298">
        <f>+J31*M31</f>
        <v>0</v>
      </c>
      <c r="Q31" s="49" t="s">
        <v>148</v>
      </c>
      <c r="AD31" s="31"/>
      <c r="AE31" s="141"/>
      <c r="AF31" s="141"/>
    </row>
    <row r="32" spans="1:32" s="30" customFormat="1" ht="15.95" customHeight="1">
      <c r="A32" s="39"/>
      <c r="B32" s="336"/>
      <c r="C32" s="495"/>
      <c r="D32" s="498"/>
      <c r="E32" s="498"/>
      <c r="F32" s="522"/>
      <c r="G32" s="489"/>
      <c r="H32" s="504"/>
      <c r="I32" s="518" t="s">
        <v>467</v>
      </c>
      <c r="J32" s="519"/>
      <c r="K32" s="299" t="s">
        <v>148</v>
      </c>
      <c r="L32" s="300" t="s">
        <v>123</v>
      </c>
      <c r="M32" s="384">
        <v>4</v>
      </c>
      <c r="N32" s="384" t="s">
        <v>126</v>
      </c>
      <c r="O32" s="301" t="s">
        <v>138</v>
      </c>
      <c r="P32" s="298">
        <f>+J32*M32</f>
        <v>0</v>
      </c>
      <c r="Q32" s="49" t="s">
        <v>148</v>
      </c>
      <c r="AD32" s="31"/>
      <c r="AE32" s="141"/>
      <c r="AF32" s="141"/>
    </row>
    <row r="33" spans="1:32" s="30" customFormat="1" ht="15.95" customHeight="1">
      <c r="A33" s="39"/>
      <c r="B33" s="336"/>
      <c r="C33" s="495"/>
      <c r="D33" s="498"/>
      <c r="E33" s="498"/>
      <c r="F33" s="522"/>
      <c r="G33" s="489"/>
      <c r="H33" s="504"/>
      <c r="I33" s="338" t="s">
        <v>468</v>
      </c>
      <c r="J33" s="298">
        <v>0</v>
      </c>
      <c r="K33" s="299" t="s">
        <v>148</v>
      </c>
      <c r="L33" s="300" t="s">
        <v>123</v>
      </c>
      <c r="M33" s="384">
        <v>3</v>
      </c>
      <c r="N33" s="384" t="s">
        <v>126</v>
      </c>
      <c r="O33" s="301" t="s">
        <v>138</v>
      </c>
      <c r="P33" s="298">
        <f>+J33*M33</f>
        <v>0</v>
      </c>
      <c r="Q33" s="49" t="s">
        <v>148</v>
      </c>
      <c r="AD33" s="31"/>
      <c r="AE33" s="141"/>
      <c r="AF33" s="141"/>
    </row>
    <row r="34" spans="1:32" s="30" customFormat="1" ht="15.95" customHeight="1" thickBot="1">
      <c r="A34" s="39"/>
      <c r="B34" s="336"/>
      <c r="C34" s="495"/>
      <c r="D34" s="498"/>
      <c r="E34" s="498"/>
      <c r="F34" s="553"/>
      <c r="G34" s="489"/>
      <c r="H34" s="504"/>
      <c r="I34" s="180" t="s">
        <v>441</v>
      </c>
      <c r="J34" s="298">
        <v>200000</v>
      </c>
      <c r="K34" s="299" t="s">
        <v>148</v>
      </c>
      <c r="L34" s="300" t="s">
        <v>123</v>
      </c>
      <c r="M34" s="384">
        <v>2</v>
      </c>
      <c r="N34" s="384" t="s">
        <v>126</v>
      </c>
      <c r="O34" s="301" t="s">
        <v>138</v>
      </c>
      <c r="P34" s="298">
        <f>+J34*M34</f>
        <v>400000</v>
      </c>
      <c r="Q34" s="49" t="s">
        <v>148</v>
      </c>
      <c r="AD34" s="31"/>
      <c r="AE34" s="141"/>
      <c r="AF34" s="141"/>
    </row>
    <row r="35" spans="1:32" s="30" customFormat="1" ht="15.95" customHeight="1">
      <c r="A35" s="39"/>
      <c r="B35" s="337"/>
      <c r="C35" s="496"/>
      <c r="D35" s="499"/>
      <c r="E35" s="499"/>
      <c r="F35" s="372"/>
      <c r="G35" s="490"/>
      <c r="H35" s="505"/>
      <c r="I35" s="178" t="s">
        <v>469</v>
      </c>
      <c r="J35" s="52">
        <v>0</v>
      </c>
      <c r="K35" s="179" t="s">
        <v>148</v>
      </c>
      <c r="L35" s="72" t="s">
        <v>123</v>
      </c>
      <c r="M35" s="383">
        <v>2</v>
      </c>
      <c r="N35" s="383" t="s">
        <v>126</v>
      </c>
      <c r="O35" s="73" t="s">
        <v>138</v>
      </c>
      <c r="P35" s="52">
        <f>+J35*M35</f>
        <v>0</v>
      </c>
      <c r="Q35" s="74" t="s">
        <v>148</v>
      </c>
      <c r="AD35" s="31"/>
      <c r="AE35" s="141"/>
      <c r="AF35" s="141"/>
    </row>
    <row r="36" spans="1:32" s="30" customFormat="1" ht="20.100000000000001" customHeight="1">
      <c r="A36" s="20" t="s">
        <v>132</v>
      </c>
      <c r="B36" s="181" t="s">
        <v>137</v>
      </c>
      <c r="C36" s="166" t="s">
        <v>169</v>
      </c>
      <c r="D36" s="167">
        <f>SUM(D37,D42,D45)</f>
        <v>14560</v>
      </c>
      <c r="E36" s="167">
        <f>SUM(E37:E50)</f>
        <v>19160</v>
      </c>
      <c r="F36" s="168">
        <f>SUM(F37,F45)</f>
        <v>12549</v>
      </c>
      <c r="G36" s="169">
        <f>+E36-D36</f>
        <v>4600</v>
      </c>
      <c r="H36" s="170">
        <f t="shared" si="0"/>
        <v>31.593406593406591</v>
      </c>
      <c r="I36" s="309"/>
      <c r="J36" s="298"/>
      <c r="K36" s="299"/>
      <c r="L36" s="384"/>
      <c r="M36" s="384"/>
      <c r="N36" s="384"/>
      <c r="O36" s="384"/>
      <c r="P36" s="298">
        <f>SUM(P37,P42,P45)</f>
        <v>19160000</v>
      </c>
      <c r="Q36" s="49" t="s">
        <v>148</v>
      </c>
      <c r="AD36" s="31"/>
      <c r="AE36" s="141"/>
      <c r="AF36" s="141"/>
    </row>
    <row r="37" spans="1:32" s="30" customFormat="1" ht="15.95" customHeight="1">
      <c r="A37" s="39"/>
      <c r="B37" s="344" t="s">
        <v>143</v>
      </c>
      <c r="C37" s="494" t="s">
        <v>345</v>
      </c>
      <c r="D37" s="497">
        <v>2300</v>
      </c>
      <c r="E37" s="497">
        <f>+P37/1000</f>
        <v>2900</v>
      </c>
      <c r="F37" s="533">
        <v>9823</v>
      </c>
      <c r="G37" s="488">
        <f>+E37-D37</f>
        <v>600</v>
      </c>
      <c r="H37" s="491">
        <f t="shared" si="0"/>
        <v>26.086956521739129</v>
      </c>
      <c r="I37" s="182"/>
      <c r="J37" s="43"/>
      <c r="K37" s="89"/>
      <c r="L37" s="332"/>
      <c r="M37" s="425" t="s">
        <v>162</v>
      </c>
      <c r="N37" s="425"/>
      <c r="O37" s="425"/>
      <c r="P37" s="43">
        <f>SUM(P38:P41)</f>
        <v>2900000</v>
      </c>
      <c r="Q37" s="38" t="s">
        <v>148</v>
      </c>
      <c r="AD37" s="31"/>
      <c r="AE37" s="141"/>
      <c r="AF37" s="141"/>
    </row>
    <row r="38" spans="1:32" s="30" customFormat="1" ht="15.95" customHeight="1">
      <c r="A38" s="39"/>
      <c r="B38" s="336"/>
      <c r="C38" s="495"/>
      <c r="D38" s="498"/>
      <c r="E38" s="498"/>
      <c r="F38" s="534"/>
      <c r="G38" s="489"/>
      <c r="H38" s="492"/>
      <c r="I38" s="297" t="s">
        <v>336</v>
      </c>
      <c r="J38" s="298">
        <v>70000</v>
      </c>
      <c r="K38" s="299" t="s">
        <v>148</v>
      </c>
      <c r="L38" s="300" t="s">
        <v>123</v>
      </c>
      <c r="M38" s="384">
        <v>10</v>
      </c>
      <c r="N38" s="384" t="s">
        <v>126</v>
      </c>
      <c r="O38" s="301" t="s">
        <v>138</v>
      </c>
      <c r="P38" s="298">
        <f>SUM(J38*M38)</f>
        <v>700000</v>
      </c>
      <c r="Q38" s="49" t="s">
        <v>148</v>
      </c>
      <c r="AD38" s="31"/>
      <c r="AE38" s="141"/>
      <c r="AF38" s="141"/>
    </row>
    <row r="39" spans="1:32" s="30" customFormat="1" ht="15.95" customHeight="1">
      <c r="A39" s="39"/>
      <c r="B39" s="336"/>
      <c r="C39" s="495"/>
      <c r="D39" s="498"/>
      <c r="E39" s="498"/>
      <c r="F39" s="535"/>
      <c r="G39" s="489"/>
      <c r="H39" s="492"/>
      <c r="I39" s="338" t="s">
        <v>198</v>
      </c>
      <c r="J39" s="298">
        <v>20000</v>
      </c>
      <c r="K39" s="299" t="s">
        <v>148</v>
      </c>
      <c r="L39" s="300" t="s">
        <v>123</v>
      </c>
      <c r="M39" s="384">
        <v>5</v>
      </c>
      <c r="N39" s="384" t="s">
        <v>126</v>
      </c>
      <c r="O39" s="301" t="s">
        <v>138</v>
      </c>
      <c r="P39" s="298">
        <f>SUM(J39*M39)</f>
        <v>100000</v>
      </c>
      <c r="Q39" s="49" t="s">
        <v>148</v>
      </c>
      <c r="AD39" s="31"/>
      <c r="AE39" s="141"/>
      <c r="AF39" s="141"/>
    </row>
    <row r="40" spans="1:32" s="30" customFormat="1" ht="15.95" customHeight="1">
      <c r="A40" s="183"/>
      <c r="B40" s="336"/>
      <c r="C40" s="495"/>
      <c r="D40" s="498"/>
      <c r="E40" s="498"/>
      <c r="F40" s="371"/>
      <c r="G40" s="489"/>
      <c r="H40" s="492"/>
      <c r="I40" s="338" t="s">
        <v>461</v>
      </c>
      <c r="J40" s="298">
        <v>100000</v>
      </c>
      <c r="K40" s="299" t="s">
        <v>148</v>
      </c>
      <c r="L40" s="300" t="s">
        <v>123</v>
      </c>
      <c r="M40" s="384">
        <v>15</v>
      </c>
      <c r="N40" s="384" t="s">
        <v>126</v>
      </c>
      <c r="O40" s="301" t="s">
        <v>138</v>
      </c>
      <c r="P40" s="298">
        <f>SUM(J40*M40)</f>
        <v>1500000</v>
      </c>
      <c r="Q40" s="49" t="s">
        <v>148</v>
      </c>
      <c r="AD40" s="31"/>
      <c r="AE40" s="141"/>
      <c r="AF40" s="141"/>
    </row>
    <row r="41" spans="1:32" s="30" customFormat="1" ht="15.95" customHeight="1">
      <c r="A41" s="183"/>
      <c r="B41" s="336"/>
      <c r="C41" s="496"/>
      <c r="D41" s="499"/>
      <c r="E41" s="499"/>
      <c r="F41" s="371"/>
      <c r="G41" s="490"/>
      <c r="H41" s="493"/>
      <c r="I41" s="178" t="s">
        <v>439</v>
      </c>
      <c r="J41" s="52">
        <v>300000</v>
      </c>
      <c r="K41" s="179" t="s">
        <v>148</v>
      </c>
      <c r="L41" s="72" t="s">
        <v>123</v>
      </c>
      <c r="M41" s="383">
        <v>2</v>
      </c>
      <c r="N41" s="383" t="s">
        <v>126</v>
      </c>
      <c r="O41" s="73" t="s">
        <v>138</v>
      </c>
      <c r="P41" s="52">
        <f>+J41*M41</f>
        <v>600000</v>
      </c>
      <c r="Q41" s="74" t="s">
        <v>148</v>
      </c>
      <c r="AD41" s="31"/>
      <c r="AE41" s="141"/>
      <c r="AF41" s="141"/>
    </row>
    <row r="42" spans="1:32" s="30" customFormat="1" ht="15.95" customHeight="1">
      <c r="A42" s="184"/>
      <c r="B42" s="344"/>
      <c r="C42" s="494" t="s">
        <v>329</v>
      </c>
      <c r="D42" s="497">
        <v>1800</v>
      </c>
      <c r="E42" s="497">
        <f>P42/1000</f>
        <v>3600</v>
      </c>
      <c r="F42" s="370"/>
      <c r="G42" s="488">
        <f>E42-D42</f>
        <v>1800</v>
      </c>
      <c r="H42" s="503">
        <f>G42/D42*100</f>
        <v>100</v>
      </c>
      <c r="I42" s="185"/>
      <c r="J42" s="43"/>
      <c r="K42" s="89"/>
      <c r="L42" s="332"/>
      <c r="M42" s="425" t="s">
        <v>162</v>
      </c>
      <c r="N42" s="425"/>
      <c r="O42" s="425"/>
      <c r="P42" s="43">
        <f>SUM(P43:P44)</f>
        <v>3600000</v>
      </c>
      <c r="Q42" s="38" t="s">
        <v>148</v>
      </c>
      <c r="AD42" s="31"/>
      <c r="AE42" s="141"/>
      <c r="AF42" s="141"/>
    </row>
    <row r="43" spans="1:32" s="30" customFormat="1" ht="15.95" customHeight="1">
      <c r="A43" s="39"/>
      <c r="B43" s="344"/>
      <c r="C43" s="495"/>
      <c r="D43" s="498"/>
      <c r="E43" s="498"/>
      <c r="F43" s="371"/>
      <c r="G43" s="489"/>
      <c r="H43" s="504"/>
      <c r="I43" s="297" t="s">
        <v>465</v>
      </c>
      <c r="J43" s="298">
        <v>300000</v>
      </c>
      <c r="K43" s="299" t="s">
        <v>148</v>
      </c>
      <c r="L43" s="300" t="s">
        <v>123</v>
      </c>
      <c r="M43" s="384">
        <v>12</v>
      </c>
      <c r="N43" s="384" t="s">
        <v>126</v>
      </c>
      <c r="O43" s="301" t="s">
        <v>138</v>
      </c>
      <c r="P43" s="298">
        <f>SUM(J43*M43)</f>
        <v>3600000</v>
      </c>
      <c r="Q43" s="49" t="s">
        <v>148</v>
      </c>
      <c r="AD43" s="31"/>
      <c r="AE43" s="141"/>
      <c r="AF43" s="141"/>
    </row>
    <row r="44" spans="1:32" s="30" customFormat="1" ht="15.95" customHeight="1">
      <c r="A44" s="39"/>
      <c r="B44" s="336"/>
      <c r="C44" s="496"/>
      <c r="D44" s="499"/>
      <c r="E44" s="499"/>
      <c r="F44" s="371"/>
      <c r="G44" s="490"/>
      <c r="H44" s="505"/>
      <c r="I44" s="297"/>
      <c r="J44" s="298">
        <v>0</v>
      </c>
      <c r="K44" s="299" t="s">
        <v>148</v>
      </c>
      <c r="L44" s="300" t="s">
        <v>123</v>
      </c>
      <c r="M44" s="384">
        <v>8</v>
      </c>
      <c r="N44" s="384" t="s">
        <v>126</v>
      </c>
      <c r="O44" s="301" t="s">
        <v>138</v>
      </c>
      <c r="P44" s="298">
        <f>SUM(J44*M44)</f>
        <v>0</v>
      </c>
      <c r="Q44" s="49" t="s">
        <v>148</v>
      </c>
      <c r="AD44" s="31"/>
      <c r="AE44" s="141"/>
      <c r="AF44" s="141"/>
    </row>
    <row r="45" spans="1:32" s="30" customFormat="1" ht="15.95" customHeight="1">
      <c r="A45" s="39"/>
      <c r="B45" s="336"/>
      <c r="C45" s="554" t="s">
        <v>129</v>
      </c>
      <c r="D45" s="497">
        <v>10460</v>
      </c>
      <c r="E45" s="497">
        <f>+P45/1000</f>
        <v>12660</v>
      </c>
      <c r="F45" s="533">
        <v>2726</v>
      </c>
      <c r="G45" s="488">
        <f>+E45-D45</f>
        <v>2200</v>
      </c>
      <c r="H45" s="503">
        <f>+G45/D45*100</f>
        <v>21.032504780114721</v>
      </c>
      <c r="I45" s="182"/>
      <c r="J45" s="43"/>
      <c r="K45" s="89"/>
      <c r="L45" s="332"/>
      <c r="M45" s="425" t="s">
        <v>162</v>
      </c>
      <c r="N45" s="425"/>
      <c r="O45" s="425"/>
      <c r="P45" s="43">
        <f>SUM(P46:P50)</f>
        <v>12660000</v>
      </c>
      <c r="Q45" s="38" t="s">
        <v>148</v>
      </c>
      <c r="AD45" s="31"/>
      <c r="AE45" s="141"/>
      <c r="AF45" s="141"/>
    </row>
    <row r="46" spans="1:32" s="30" customFormat="1" ht="15.95" customHeight="1">
      <c r="A46" s="39"/>
      <c r="B46" s="336"/>
      <c r="C46" s="541"/>
      <c r="D46" s="498"/>
      <c r="E46" s="498"/>
      <c r="F46" s="534"/>
      <c r="G46" s="489">
        <f>+E46-D46</f>
        <v>0</v>
      </c>
      <c r="H46" s="504" t="e">
        <f>+G46/D46*100</f>
        <v>#DIV/0!</v>
      </c>
      <c r="I46" s="297" t="s">
        <v>98</v>
      </c>
      <c r="J46" s="298">
        <v>480000</v>
      </c>
      <c r="K46" s="299" t="s">
        <v>148</v>
      </c>
      <c r="L46" s="300" t="s">
        <v>123</v>
      </c>
      <c r="M46" s="384">
        <v>2</v>
      </c>
      <c r="N46" s="384" t="s">
        <v>126</v>
      </c>
      <c r="O46" s="301" t="s">
        <v>138</v>
      </c>
      <c r="P46" s="298">
        <f>SUM(J46*M46)</f>
        <v>960000</v>
      </c>
      <c r="Q46" s="49" t="s">
        <v>148</v>
      </c>
      <c r="AD46" s="31"/>
      <c r="AE46" s="141"/>
      <c r="AF46" s="141"/>
    </row>
    <row r="47" spans="1:32" s="30" customFormat="1" ht="15.95" customHeight="1">
      <c r="A47" s="39"/>
      <c r="B47" s="336"/>
      <c r="C47" s="541"/>
      <c r="D47" s="498"/>
      <c r="E47" s="498"/>
      <c r="F47" s="534"/>
      <c r="G47" s="489"/>
      <c r="H47" s="504"/>
      <c r="I47" s="297" t="s">
        <v>355</v>
      </c>
      <c r="J47" s="298">
        <v>1750000</v>
      </c>
      <c r="K47" s="299" t="s">
        <v>148</v>
      </c>
      <c r="L47" s="300" t="s">
        <v>123</v>
      </c>
      <c r="M47" s="384">
        <v>4</v>
      </c>
      <c r="N47" s="384" t="s">
        <v>126</v>
      </c>
      <c r="O47" s="301" t="s">
        <v>138</v>
      </c>
      <c r="P47" s="298">
        <f>SUM(J47*M47)</f>
        <v>7000000</v>
      </c>
      <c r="Q47" s="49" t="s">
        <v>148</v>
      </c>
      <c r="AD47" s="31"/>
      <c r="AE47" s="141"/>
      <c r="AF47" s="141"/>
    </row>
    <row r="48" spans="1:32" s="30" customFormat="1" ht="15.95" customHeight="1">
      <c r="A48" s="39"/>
      <c r="B48" s="336"/>
      <c r="C48" s="541"/>
      <c r="D48" s="498"/>
      <c r="E48" s="498"/>
      <c r="F48" s="534"/>
      <c r="G48" s="489">
        <f>+E48-D48</f>
        <v>0</v>
      </c>
      <c r="H48" s="504" t="e">
        <f t="shared" ref="H48:H58" si="3">+G48/D48*100</f>
        <v>#DIV/0!</v>
      </c>
      <c r="I48" s="297" t="s">
        <v>90</v>
      </c>
      <c r="J48" s="298">
        <v>500000</v>
      </c>
      <c r="K48" s="299" t="s">
        <v>148</v>
      </c>
      <c r="L48" s="300" t="s">
        <v>123</v>
      </c>
      <c r="M48" s="384">
        <v>8</v>
      </c>
      <c r="N48" s="384" t="s">
        <v>126</v>
      </c>
      <c r="O48" s="301" t="s">
        <v>138</v>
      </c>
      <c r="P48" s="298">
        <f>SUM(J48*M48)</f>
        <v>4000000</v>
      </c>
      <c r="Q48" s="49" t="s">
        <v>148</v>
      </c>
      <c r="AD48" s="31"/>
      <c r="AE48" s="141"/>
      <c r="AF48" s="141"/>
    </row>
    <row r="49" spans="1:32" s="30" customFormat="1" ht="15.95" customHeight="1">
      <c r="A49" s="39"/>
      <c r="B49" s="336"/>
      <c r="C49" s="541"/>
      <c r="D49" s="498"/>
      <c r="E49" s="498"/>
      <c r="F49" s="534"/>
      <c r="G49" s="489"/>
      <c r="H49" s="504"/>
      <c r="I49" s="297" t="s">
        <v>5</v>
      </c>
      <c r="J49" s="298">
        <v>100000</v>
      </c>
      <c r="K49" s="299" t="s">
        <v>148</v>
      </c>
      <c r="L49" s="300" t="s">
        <v>123</v>
      </c>
      <c r="M49" s="384">
        <v>3</v>
      </c>
      <c r="N49" s="384" t="s">
        <v>126</v>
      </c>
      <c r="O49" s="301" t="s">
        <v>138</v>
      </c>
      <c r="P49" s="298">
        <f>SUM(J49*M49)</f>
        <v>300000</v>
      </c>
      <c r="Q49" s="49" t="s">
        <v>148</v>
      </c>
      <c r="AD49" s="31"/>
      <c r="AE49" s="141"/>
      <c r="AF49" s="141"/>
    </row>
    <row r="50" spans="1:32" s="30" customFormat="1" ht="15.95" customHeight="1">
      <c r="A50" s="39"/>
      <c r="B50" s="336"/>
      <c r="C50" s="541"/>
      <c r="D50" s="498"/>
      <c r="E50" s="498"/>
      <c r="F50" s="535"/>
      <c r="G50" s="489">
        <f>+E50-D50</f>
        <v>0</v>
      </c>
      <c r="H50" s="504" t="e">
        <f t="shared" si="3"/>
        <v>#DIV/0!</v>
      </c>
      <c r="I50" s="297" t="s">
        <v>377</v>
      </c>
      <c r="J50" s="298">
        <v>100000</v>
      </c>
      <c r="K50" s="299" t="s">
        <v>148</v>
      </c>
      <c r="L50" s="300" t="s">
        <v>123</v>
      </c>
      <c r="M50" s="384">
        <v>4</v>
      </c>
      <c r="N50" s="384" t="s">
        <v>126</v>
      </c>
      <c r="O50" s="301" t="s">
        <v>138</v>
      </c>
      <c r="P50" s="298">
        <f>SUM(J50*M50)</f>
        <v>400000</v>
      </c>
      <c r="Q50" s="49" t="s">
        <v>148</v>
      </c>
      <c r="AD50" s="31"/>
      <c r="AE50" s="141"/>
      <c r="AF50" s="141"/>
    </row>
    <row r="51" spans="1:32" s="30" customFormat="1" ht="20.100000000000001" customHeight="1">
      <c r="A51" s="39"/>
      <c r="B51" s="113" t="s">
        <v>147</v>
      </c>
      <c r="C51" s="186" t="s">
        <v>169</v>
      </c>
      <c r="D51" s="187">
        <f>SUM(D52:D64,D65:D81)</f>
        <v>394139</v>
      </c>
      <c r="E51" s="187">
        <f>SUM(E52:E81)</f>
        <v>415939.19996500004</v>
      </c>
      <c r="F51" s="188">
        <f>SUM(F52:F64,F65:F81)</f>
        <v>274672</v>
      </c>
      <c r="G51" s="189">
        <f>E51-D51</f>
        <v>21800.199965000036</v>
      </c>
      <c r="H51" s="190">
        <f t="shared" si="3"/>
        <v>5.5310943512314275</v>
      </c>
      <c r="I51" s="182"/>
      <c r="J51" s="43"/>
      <c r="K51" s="89"/>
      <c r="L51" s="89"/>
      <c r="M51" s="89"/>
      <c r="N51" s="89"/>
      <c r="O51" s="89"/>
      <c r="P51" s="37">
        <f>SUM(P52,P54,P61,P65,P73,P70)</f>
        <v>415939199.96500003</v>
      </c>
      <c r="Q51" s="38" t="s">
        <v>148</v>
      </c>
      <c r="AD51" s="31"/>
      <c r="AE51" s="141"/>
      <c r="AF51" s="141"/>
    </row>
    <row r="52" spans="1:32" s="30" customFormat="1" ht="15.95" customHeight="1">
      <c r="A52" s="39"/>
      <c r="B52" s="336"/>
      <c r="C52" s="554" t="s">
        <v>173</v>
      </c>
      <c r="D52" s="497">
        <v>200</v>
      </c>
      <c r="E52" s="497">
        <f>+P52/1000</f>
        <v>200</v>
      </c>
      <c r="F52" s="533">
        <v>107</v>
      </c>
      <c r="G52" s="488">
        <f>+E52-D52</f>
        <v>0</v>
      </c>
      <c r="H52" s="503">
        <f t="shared" si="3"/>
        <v>0</v>
      </c>
      <c r="I52" s="182"/>
      <c r="J52" s="43"/>
      <c r="K52" s="89"/>
      <c r="L52" s="332"/>
      <c r="M52" s="332" t="s">
        <v>162</v>
      </c>
      <c r="N52" s="332"/>
      <c r="O52" s="332"/>
      <c r="P52" s="43">
        <f>SUM(P53)</f>
        <v>200000</v>
      </c>
      <c r="Q52" s="38" t="s">
        <v>148</v>
      </c>
      <c r="AD52" s="31"/>
      <c r="AE52" s="141"/>
      <c r="AF52" s="141"/>
    </row>
    <row r="53" spans="1:32" s="30" customFormat="1" ht="15.95" customHeight="1">
      <c r="A53" s="39"/>
      <c r="B53" s="191"/>
      <c r="C53" s="542"/>
      <c r="D53" s="499"/>
      <c r="E53" s="499"/>
      <c r="F53" s="535"/>
      <c r="G53" s="490">
        <f>+E53-D53</f>
        <v>0</v>
      </c>
      <c r="H53" s="505" t="e">
        <f t="shared" si="3"/>
        <v>#DIV/0!</v>
      </c>
      <c r="I53" s="192" t="s">
        <v>283</v>
      </c>
      <c r="J53" s="52">
        <v>50000</v>
      </c>
      <c r="K53" s="179" t="s">
        <v>148</v>
      </c>
      <c r="L53" s="72" t="s">
        <v>123</v>
      </c>
      <c r="M53" s="383">
        <v>4</v>
      </c>
      <c r="N53" s="383" t="s">
        <v>126</v>
      </c>
      <c r="O53" s="73" t="s">
        <v>138</v>
      </c>
      <c r="P53" s="52">
        <f>SUM(J53*M53)</f>
        <v>200000</v>
      </c>
      <c r="Q53" s="74" t="s">
        <v>148</v>
      </c>
      <c r="AD53" s="31"/>
      <c r="AE53" s="141"/>
      <c r="AF53" s="141"/>
    </row>
    <row r="54" spans="1:32" s="30" customFormat="1" ht="15.95" customHeight="1">
      <c r="A54" s="39"/>
      <c r="B54" s="336"/>
      <c r="C54" s="543" t="s">
        <v>36</v>
      </c>
      <c r="D54" s="497">
        <v>204250</v>
      </c>
      <c r="E54" s="497">
        <f>+P54/1000</f>
        <v>205450</v>
      </c>
      <c r="F54" s="533">
        <v>27504</v>
      </c>
      <c r="G54" s="488">
        <f>+E54-D54</f>
        <v>1200</v>
      </c>
      <c r="H54" s="503">
        <f t="shared" si="3"/>
        <v>0.58751529987760098</v>
      </c>
      <c r="I54" s="182"/>
      <c r="J54" s="43"/>
      <c r="K54" s="89"/>
      <c r="L54" s="89"/>
      <c r="M54" s="425" t="s">
        <v>162</v>
      </c>
      <c r="N54" s="425"/>
      <c r="O54" s="425"/>
      <c r="P54" s="37">
        <f>SUM(P55:P60)</f>
        <v>205450000</v>
      </c>
      <c r="Q54" s="38" t="s">
        <v>148</v>
      </c>
      <c r="AD54" s="31"/>
      <c r="AE54" s="141"/>
      <c r="AF54" s="141"/>
    </row>
    <row r="55" spans="1:32" s="30" customFormat="1" ht="15.95" customHeight="1">
      <c r="A55" s="39"/>
      <c r="B55" s="336"/>
      <c r="C55" s="544"/>
      <c r="D55" s="498"/>
      <c r="E55" s="498"/>
      <c r="F55" s="534"/>
      <c r="G55" s="489"/>
      <c r="H55" s="504"/>
      <c r="I55" s="297" t="s">
        <v>370</v>
      </c>
      <c r="J55" s="298">
        <v>13415000</v>
      </c>
      <c r="K55" s="299" t="s">
        <v>131</v>
      </c>
      <c r="L55" s="384" t="s">
        <v>123</v>
      </c>
      <c r="M55" s="384">
        <v>12</v>
      </c>
      <c r="N55" s="384" t="s">
        <v>131</v>
      </c>
      <c r="O55" s="384" t="s">
        <v>140</v>
      </c>
      <c r="P55" s="306">
        <f>J55*M55</f>
        <v>160980000</v>
      </c>
      <c r="Q55" s="49" t="s">
        <v>148</v>
      </c>
      <c r="AD55" s="31"/>
      <c r="AE55" s="141"/>
      <c r="AF55" s="141"/>
    </row>
    <row r="56" spans="1:32" s="30" customFormat="1" ht="15.95" customHeight="1">
      <c r="A56" s="39"/>
      <c r="B56" s="336"/>
      <c r="C56" s="541"/>
      <c r="D56" s="498"/>
      <c r="E56" s="498"/>
      <c r="F56" s="534"/>
      <c r="G56" s="489">
        <f>+E56-D56</f>
        <v>0</v>
      </c>
      <c r="H56" s="504" t="e">
        <f t="shared" si="3"/>
        <v>#DIV/0!</v>
      </c>
      <c r="I56" s="297" t="s">
        <v>88</v>
      </c>
      <c r="J56" s="298">
        <v>2035000</v>
      </c>
      <c r="K56" s="299" t="s">
        <v>148</v>
      </c>
      <c r="L56" s="300" t="s">
        <v>123</v>
      </c>
      <c r="M56" s="384">
        <v>2</v>
      </c>
      <c r="N56" s="384" t="s">
        <v>126</v>
      </c>
      <c r="O56" s="301" t="s">
        <v>138</v>
      </c>
      <c r="P56" s="298">
        <f>SUM(J56*M56)</f>
        <v>4070000</v>
      </c>
      <c r="Q56" s="49" t="s">
        <v>148</v>
      </c>
      <c r="AD56" s="31"/>
      <c r="AE56" s="141"/>
      <c r="AF56" s="141"/>
    </row>
    <row r="57" spans="1:32" s="30" customFormat="1" ht="15.95" customHeight="1">
      <c r="A57" s="39"/>
      <c r="B57" s="336"/>
      <c r="C57" s="541"/>
      <c r="D57" s="498"/>
      <c r="E57" s="498"/>
      <c r="F57" s="534"/>
      <c r="G57" s="489"/>
      <c r="H57" s="504"/>
      <c r="I57" s="297" t="s">
        <v>382</v>
      </c>
      <c r="J57" s="298">
        <v>2875000</v>
      </c>
      <c r="K57" s="299" t="s">
        <v>148</v>
      </c>
      <c r="L57" s="300" t="s">
        <v>123</v>
      </c>
      <c r="M57" s="384">
        <v>8</v>
      </c>
      <c r="N57" s="384" t="s">
        <v>126</v>
      </c>
      <c r="O57" s="301" t="s">
        <v>138</v>
      </c>
      <c r="P57" s="298">
        <f>SUM(J57*M57)</f>
        <v>23000000</v>
      </c>
      <c r="Q57" s="49" t="s">
        <v>148</v>
      </c>
      <c r="AD57" s="31"/>
      <c r="AE57" s="141"/>
      <c r="AF57" s="141"/>
    </row>
    <row r="58" spans="1:32" s="30" customFormat="1" ht="15.95" customHeight="1">
      <c r="A58" s="39"/>
      <c r="B58" s="336"/>
      <c r="C58" s="541"/>
      <c r="D58" s="498"/>
      <c r="E58" s="498"/>
      <c r="F58" s="534"/>
      <c r="G58" s="489">
        <f>+E58-D58</f>
        <v>0</v>
      </c>
      <c r="H58" s="504" t="e">
        <f t="shared" si="3"/>
        <v>#DIV/0!</v>
      </c>
      <c r="I58" s="297" t="s">
        <v>343</v>
      </c>
      <c r="J58" s="298">
        <v>900000</v>
      </c>
      <c r="K58" s="299" t="s">
        <v>148</v>
      </c>
      <c r="L58" s="300" t="s">
        <v>123</v>
      </c>
      <c r="M58" s="384">
        <v>12</v>
      </c>
      <c r="N58" s="384" t="s">
        <v>131</v>
      </c>
      <c r="O58" s="301" t="s">
        <v>138</v>
      </c>
      <c r="P58" s="298">
        <f>SUM(J58*M58)</f>
        <v>10800000</v>
      </c>
      <c r="Q58" s="49" t="s">
        <v>148</v>
      </c>
      <c r="AD58" s="31"/>
      <c r="AE58" s="141"/>
      <c r="AF58" s="141"/>
    </row>
    <row r="59" spans="1:32" s="30" customFormat="1" ht="15.95" customHeight="1">
      <c r="A59" s="39"/>
      <c r="B59" s="336"/>
      <c r="C59" s="541"/>
      <c r="D59" s="498"/>
      <c r="E59" s="498"/>
      <c r="F59" s="534"/>
      <c r="G59" s="489"/>
      <c r="H59" s="504"/>
      <c r="I59" s="297" t="s">
        <v>212</v>
      </c>
      <c r="J59" s="298">
        <v>300000</v>
      </c>
      <c r="K59" s="299" t="s">
        <v>148</v>
      </c>
      <c r="L59" s="300" t="s">
        <v>123</v>
      </c>
      <c r="M59" s="384">
        <v>12</v>
      </c>
      <c r="N59" s="384" t="s">
        <v>131</v>
      </c>
      <c r="O59" s="301" t="s">
        <v>138</v>
      </c>
      <c r="P59" s="298">
        <f>SUM(J59*M59)</f>
        <v>3600000</v>
      </c>
      <c r="Q59" s="49" t="s">
        <v>148</v>
      </c>
      <c r="AD59" s="31"/>
      <c r="AE59" s="141"/>
      <c r="AF59" s="141"/>
    </row>
    <row r="60" spans="1:32" s="30" customFormat="1" ht="15.95" customHeight="1">
      <c r="A60" s="39"/>
      <c r="B60" s="336"/>
      <c r="C60" s="542"/>
      <c r="D60" s="499"/>
      <c r="E60" s="499"/>
      <c r="F60" s="535"/>
      <c r="G60" s="490">
        <f t="shared" ref="G60:G65" si="4">+E60-D60</f>
        <v>0</v>
      </c>
      <c r="H60" s="505" t="e">
        <f t="shared" ref="H60:H73" si="5">+G60/D60*100</f>
        <v>#DIV/0!</v>
      </c>
      <c r="I60" s="192" t="s">
        <v>196</v>
      </c>
      <c r="J60" s="52">
        <v>250000</v>
      </c>
      <c r="K60" s="179" t="s">
        <v>148</v>
      </c>
      <c r="L60" s="72" t="s">
        <v>123</v>
      </c>
      <c r="M60" s="383">
        <v>12</v>
      </c>
      <c r="N60" s="383" t="s">
        <v>131</v>
      </c>
      <c r="O60" s="73" t="s">
        <v>138</v>
      </c>
      <c r="P60" s="52">
        <f>SUM(J60*M60)</f>
        <v>3000000</v>
      </c>
      <c r="Q60" s="74" t="s">
        <v>148</v>
      </c>
      <c r="AD60" s="31"/>
      <c r="AE60" s="141"/>
      <c r="AF60" s="141"/>
    </row>
    <row r="61" spans="1:32" s="30" customFormat="1" ht="15.95" customHeight="1">
      <c r="A61" s="39"/>
      <c r="B61" s="336"/>
      <c r="C61" s="541" t="s">
        <v>211</v>
      </c>
      <c r="D61" s="498">
        <v>8220</v>
      </c>
      <c r="E61" s="498">
        <f>P61/1000</f>
        <v>8220</v>
      </c>
      <c r="F61" s="534">
        <v>9102</v>
      </c>
      <c r="G61" s="489">
        <f t="shared" si="4"/>
        <v>0</v>
      </c>
      <c r="H61" s="504">
        <f t="shared" si="5"/>
        <v>0</v>
      </c>
      <c r="I61" s="297"/>
      <c r="J61" s="298"/>
      <c r="K61" s="299"/>
      <c r="L61" s="299"/>
      <c r="M61" s="574" t="s">
        <v>162</v>
      </c>
      <c r="N61" s="574"/>
      <c r="O61" s="574"/>
      <c r="P61" s="306">
        <f>SUM(P62:P64)</f>
        <v>8220000</v>
      </c>
      <c r="Q61" s="49" t="s">
        <v>148</v>
      </c>
      <c r="AD61" s="31"/>
      <c r="AE61" s="141"/>
      <c r="AF61" s="141"/>
    </row>
    <row r="62" spans="1:32" s="30" customFormat="1" ht="15.95" customHeight="1">
      <c r="A62" s="39"/>
      <c r="B62" s="336"/>
      <c r="C62" s="541"/>
      <c r="D62" s="498"/>
      <c r="E62" s="498"/>
      <c r="F62" s="534"/>
      <c r="G62" s="489">
        <f t="shared" si="4"/>
        <v>0</v>
      </c>
      <c r="H62" s="504" t="e">
        <f t="shared" si="5"/>
        <v>#DIV/0!</v>
      </c>
      <c r="I62" s="297" t="s">
        <v>61</v>
      </c>
      <c r="J62" s="298">
        <v>400000</v>
      </c>
      <c r="K62" s="299" t="s">
        <v>148</v>
      </c>
      <c r="L62" s="300" t="s">
        <v>123</v>
      </c>
      <c r="M62" s="384">
        <v>12</v>
      </c>
      <c r="N62" s="384" t="s">
        <v>131</v>
      </c>
      <c r="O62" s="301" t="s">
        <v>138</v>
      </c>
      <c r="P62" s="298">
        <f>SUM(J62*M62)</f>
        <v>4800000</v>
      </c>
      <c r="Q62" s="49" t="s">
        <v>148</v>
      </c>
      <c r="AD62" s="31"/>
      <c r="AE62" s="141"/>
      <c r="AF62" s="141"/>
    </row>
    <row r="63" spans="1:32" s="30" customFormat="1" ht="15.95" customHeight="1">
      <c r="A63" s="39"/>
      <c r="B63" s="336"/>
      <c r="C63" s="541"/>
      <c r="D63" s="498"/>
      <c r="E63" s="498"/>
      <c r="F63" s="534"/>
      <c r="G63" s="489">
        <f t="shared" si="4"/>
        <v>0</v>
      </c>
      <c r="H63" s="504" t="e">
        <f t="shared" si="5"/>
        <v>#DIV/0!</v>
      </c>
      <c r="I63" s="297" t="s">
        <v>344</v>
      </c>
      <c r="J63" s="298">
        <v>235000</v>
      </c>
      <c r="K63" s="299" t="s">
        <v>148</v>
      </c>
      <c r="L63" s="300" t="s">
        <v>123</v>
      </c>
      <c r="M63" s="384">
        <v>12</v>
      </c>
      <c r="N63" s="384" t="s">
        <v>131</v>
      </c>
      <c r="O63" s="301" t="s">
        <v>138</v>
      </c>
      <c r="P63" s="298">
        <f>SUM(J63*M63)</f>
        <v>2820000</v>
      </c>
      <c r="Q63" s="49" t="s">
        <v>148</v>
      </c>
      <c r="AD63" s="31"/>
      <c r="AE63" s="141"/>
      <c r="AF63" s="141"/>
    </row>
    <row r="64" spans="1:32" s="30" customFormat="1" ht="15.95" customHeight="1">
      <c r="A64" s="39"/>
      <c r="B64" s="336"/>
      <c r="C64" s="541"/>
      <c r="D64" s="498"/>
      <c r="E64" s="498"/>
      <c r="F64" s="534"/>
      <c r="G64" s="489">
        <f t="shared" si="4"/>
        <v>0</v>
      </c>
      <c r="H64" s="504" t="e">
        <f t="shared" si="5"/>
        <v>#DIV/0!</v>
      </c>
      <c r="I64" s="297" t="s">
        <v>246</v>
      </c>
      <c r="J64" s="298">
        <v>50000</v>
      </c>
      <c r="K64" s="299" t="s">
        <v>148</v>
      </c>
      <c r="L64" s="300" t="s">
        <v>123</v>
      </c>
      <c r="M64" s="384">
        <v>12</v>
      </c>
      <c r="N64" s="384" t="s">
        <v>126</v>
      </c>
      <c r="O64" s="301" t="s">
        <v>138</v>
      </c>
      <c r="P64" s="298">
        <f>SUM(J64*M64)</f>
        <v>600000</v>
      </c>
      <c r="Q64" s="49" t="s">
        <v>148</v>
      </c>
      <c r="AD64" s="31"/>
      <c r="AE64" s="141"/>
      <c r="AF64" s="141"/>
    </row>
    <row r="65" spans="1:32" s="30" customFormat="1" ht="15.95" customHeight="1">
      <c r="A65" s="39" t="s">
        <v>161</v>
      </c>
      <c r="B65" s="336" t="s">
        <v>161</v>
      </c>
      <c r="C65" s="494" t="s">
        <v>361</v>
      </c>
      <c r="D65" s="497">
        <v>90999</v>
      </c>
      <c r="E65" s="497">
        <f>+P65/1000</f>
        <v>91199.2</v>
      </c>
      <c r="F65" s="533">
        <v>194780</v>
      </c>
      <c r="G65" s="488">
        <f t="shared" si="4"/>
        <v>200.19999999999709</v>
      </c>
      <c r="H65" s="503">
        <f t="shared" si="5"/>
        <v>0.22000241760898151</v>
      </c>
      <c r="I65" s="182"/>
      <c r="J65" s="43"/>
      <c r="K65" s="89"/>
      <c r="L65" s="89"/>
      <c r="M65" s="425" t="s">
        <v>162</v>
      </c>
      <c r="N65" s="425"/>
      <c r="O65" s="425"/>
      <c r="P65" s="37">
        <f>SUM(P66:P69)</f>
        <v>91199200</v>
      </c>
      <c r="Q65" s="38" t="s">
        <v>148</v>
      </c>
      <c r="AD65" s="31"/>
      <c r="AE65" s="141"/>
      <c r="AF65" s="141"/>
    </row>
    <row r="66" spans="1:32" s="30" customFormat="1" ht="15.95" customHeight="1">
      <c r="A66" s="39"/>
      <c r="B66" s="336"/>
      <c r="C66" s="495"/>
      <c r="D66" s="498"/>
      <c r="E66" s="498"/>
      <c r="F66" s="534"/>
      <c r="G66" s="489"/>
      <c r="H66" s="504"/>
      <c r="I66" s="297" t="s">
        <v>403</v>
      </c>
      <c r="J66" s="298">
        <v>8750000</v>
      </c>
      <c r="K66" s="299" t="s">
        <v>148</v>
      </c>
      <c r="L66" s="300" t="s">
        <v>123</v>
      </c>
      <c r="M66" s="384">
        <v>4</v>
      </c>
      <c r="N66" s="384" t="s">
        <v>126</v>
      </c>
      <c r="O66" s="301" t="s">
        <v>138</v>
      </c>
      <c r="P66" s="298">
        <f>SUM(J66*M66)</f>
        <v>35000000</v>
      </c>
      <c r="Q66" s="49" t="s">
        <v>148</v>
      </c>
      <c r="AD66" s="31"/>
      <c r="AE66" s="141"/>
      <c r="AF66" s="141"/>
    </row>
    <row r="67" spans="1:32" s="30" customFormat="1" ht="15.95" customHeight="1">
      <c r="A67" s="39"/>
      <c r="B67" s="336"/>
      <c r="C67" s="495"/>
      <c r="D67" s="498"/>
      <c r="E67" s="498"/>
      <c r="F67" s="534"/>
      <c r="G67" s="489"/>
      <c r="H67" s="504"/>
      <c r="I67" s="297" t="s">
        <v>303</v>
      </c>
      <c r="J67" s="298">
        <v>50000000</v>
      </c>
      <c r="K67" s="299" t="s">
        <v>148</v>
      </c>
      <c r="L67" s="300" t="s">
        <v>123</v>
      </c>
      <c r="M67" s="384">
        <v>1</v>
      </c>
      <c r="N67" s="384" t="s">
        <v>126</v>
      </c>
      <c r="O67" s="301" t="s">
        <v>138</v>
      </c>
      <c r="P67" s="298">
        <f>SUM(J67*M67)</f>
        <v>50000000</v>
      </c>
      <c r="Q67" s="49" t="s">
        <v>148</v>
      </c>
      <c r="AD67" s="31"/>
      <c r="AE67" s="141"/>
      <c r="AF67" s="141"/>
    </row>
    <row r="68" spans="1:32" s="30" customFormat="1" ht="15.95" customHeight="1">
      <c r="A68" s="39"/>
      <c r="B68" s="336"/>
      <c r="C68" s="495"/>
      <c r="D68" s="498"/>
      <c r="E68" s="498"/>
      <c r="F68" s="534"/>
      <c r="G68" s="489"/>
      <c r="H68" s="504"/>
      <c r="I68" s="316" t="s">
        <v>154</v>
      </c>
      <c r="J68" s="298">
        <v>4199200</v>
      </c>
      <c r="K68" s="299" t="s">
        <v>148</v>
      </c>
      <c r="L68" s="300" t="s">
        <v>123</v>
      </c>
      <c r="M68" s="384">
        <v>1</v>
      </c>
      <c r="N68" s="384" t="s">
        <v>126</v>
      </c>
      <c r="O68" s="384" t="s">
        <v>138</v>
      </c>
      <c r="P68" s="298">
        <f>SUM(J68*M68)</f>
        <v>4199200</v>
      </c>
      <c r="Q68" s="49" t="s">
        <v>148</v>
      </c>
      <c r="AD68" s="31"/>
      <c r="AE68" s="141"/>
      <c r="AF68" s="141"/>
    </row>
    <row r="69" spans="1:32" s="30" customFormat="1" ht="15.95" customHeight="1">
      <c r="A69" s="39"/>
      <c r="B69" s="336"/>
      <c r="C69" s="496"/>
      <c r="D69" s="499"/>
      <c r="E69" s="499"/>
      <c r="F69" s="535"/>
      <c r="G69" s="490"/>
      <c r="H69" s="505"/>
      <c r="I69" s="192" t="s">
        <v>374</v>
      </c>
      <c r="J69" s="52">
        <v>1000000</v>
      </c>
      <c r="K69" s="179" t="s">
        <v>148</v>
      </c>
      <c r="L69" s="72" t="s">
        <v>123</v>
      </c>
      <c r="M69" s="383">
        <v>2</v>
      </c>
      <c r="N69" s="383" t="s">
        <v>149</v>
      </c>
      <c r="O69" s="73" t="s">
        <v>138</v>
      </c>
      <c r="P69" s="52">
        <f>SUM(J69*M69)</f>
        <v>2000000</v>
      </c>
      <c r="Q69" s="74" t="s">
        <v>148</v>
      </c>
      <c r="AD69" s="31"/>
      <c r="AE69" s="141"/>
      <c r="AF69" s="141"/>
    </row>
    <row r="70" spans="1:32" s="30" customFormat="1" ht="15.95" customHeight="1">
      <c r="A70" s="20" t="s">
        <v>132</v>
      </c>
      <c r="B70" s="344" t="s">
        <v>147</v>
      </c>
      <c r="C70" s="554" t="s">
        <v>127</v>
      </c>
      <c r="D70" s="497">
        <v>2400</v>
      </c>
      <c r="E70" s="497">
        <f>+P70/1000</f>
        <v>2400</v>
      </c>
      <c r="F70" s="533">
        <v>6589</v>
      </c>
      <c r="G70" s="488">
        <f>+E70-D70</f>
        <v>0</v>
      </c>
      <c r="H70" s="503">
        <f>+G70/D70*100</f>
        <v>0</v>
      </c>
      <c r="I70" s="182"/>
      <c r="J70" s="43"/>
      <c r="K70" s="89"/>
      <c r="L70" s="332"/>
      <c r="M70" s="425" t="s">
        <v>162</v>
      </c>
      <c r="N70" s="425"/>
      <c r="O70" s="425"/>
      <c r="P70" s="43">
        <f>SUM(P71:P72)</f>
        <v>2400000</v>
      </c>
      <c r="Q70" s="38" t="s">
        <v>148</v>
      </c>
      <c r="AD70" s="31"/>
      <c r="AE70" s="141"/>
      <c r="AF70" s="141"/>
    </row>
    <row r="71" spans="1:32" s="30" customFormat="1" ht="15.95" customHeight="1">
      <c r="A71" s="39"/>
      <c r="B71" s="336"/>
      <c r="C71" s="541"/>
      <c r="D71" s="498"/>
      <c r="E71" s="498"/>
      <c r="F71" s="534"/>
      <c r="G71" s="489">
        <f>+E71-D71</f>
        <v>0</v>
      </c>
      <c r="H71" s="504" t="e">
        <f>+G71/D71*100</f>
        <v>#DIV/0!</v>
      </c>
      <c r="I71" s="297" t="s">
        <v>233</v>
      </c>
      <c r="J71" s="298">
        <v>50000</v>
      </c>
      <c r="K71" s="299" t="s">
        <v>148</v>
      </c>
      <c r="L71" s="384" t="s">
        <v>123</v>
      </c>
      <c r="M71" s="384">
        <v>12</v>
      </c>
      <c r="N71" s="384" t="s">
        <v>131</v>
      </c>
      <c r="O71" s="301" t="s">
        <v>138</v>
      </c>
      <c r="P71" s="298">
        <f>SUM(J71*M71)</f>
        <v>600000</v>
      </c>
      <c r="Q71" s="49" t="s">
        <v>148</v>
      </c>
      <c r="AD71" s="31"/>
      <c r="AE71" s="141"/>
      <c r="AF71" s="141"/>
    </row>
    <row r="72" spans="1:32" s="30" customFormat="1" ht="15.95" customHeight="1">
      <c r="A72" s="39"/>
      <c r="B72" s="336"/>
      <c r="C72" s="542"/>
      <c r="D72" s="499"/>
      <c r="E72" s="499"/>
      <c r="F72" s="535"/>
      <c r="G72" s="490">
        <f>+E72-D72</f>
        <v>0</v>
      </c>
      <c r="H72" s="505" t="e">
        <f>+G72/D72*100</f>
        <v>#DIV/0!</v>
      </c>
      <c r="I72" s="192" t="s">
        <v>341</v>
      </c>
      <c r="J72" s="52">
        <v>150000</v>
      </c>
      <c r="K72" s="179" t="s">
        <v>148</v>
      </c>
      <c r="L72" s="72" t="s">
        <v>123</v>
      </c>
      <c r="M72" s="383">
        <v>12</v>
      </c>
      <c r="N72" s="384" t="s">
        <v>131</v>
      </c>
      <c r="O72" s="73" t="s">
        <v>138</v>
      </c>
      <c r="P72" s="52">
        <f>SUM(J72*M72)</f>
        <v>1800000</v>
      </c>
      <c r="Q72" s="74" t="s">
        <v>148</v>
      </c>
      <c r="AD72" s="31"/>
      <c r="AE72" s="141"/>
      <c r="AF72" s="141"/>
    </row>
    <row r="73" spans="1:32" s="30" customFormat="1" ht="15.95" customHeight="1">
      <c r="A73" s="195"/>
      <c r="B73" s="196"/>
      <c r="C73" s="494" t="s">
        <v>309</v>
      </c>
      <c r="D73" s="497">
        <v>88070</v>
      </c>
      <c r="E73" s="497">
        <f>+P73/1000</f>
        <v>108469.99996500001</v>
      </c>
      <c r="F73" s="370">
        <v>36590</v>
      </c>
      <c r="G73" s="488">
        <f>E73-D73</f>
        <v>20399.99996500001</v>
      </c>
      <c r="H73" s="491">
        <f t="shared" si="5"/>
        <v>23.16339271602136</v>
      </c>
      <c r="I73" s="193"/>
      <c r="J73" s="194"/>
      <c r="K73" s="89"/>
      <c r="L73" s="332"/>
      <c r="M73" s="425" t="s">
        <v>162</v>
      </c>
      <c r="N73" s="425"/>
      <c r="O73" s="425"/>
      <c r="P73" s="43">
        <f>SUM(P74:P81)</f>
        <v>108469999.965</v>
      </c>
      <c r="Q73" s="38" t="s">
        <v>148</v>
      </c>
      <c r="AD73" s="31"/>
      <c r="AE73" s="141"/>
      <c r="AF73" s="141"/>
    </row>
    <row r="74" spans="1:32" s="30" customFormat="1" ht="15.95" customHeight="1">
      <c r="A74" s="195"/>
      <c r="B74" s="196"/>
      <c r="C74" s="495"/>
      <c r="D74" s="498"/>
      <c r="E74" s="498"/>
      <c r="F74" s="371"/>
      <c r="G74" s="489"/>
      <c r="H74" s="492"/>
      <c r="I74" s="297" t="s">
        <v>375</v>
      </c>
      <c r="J74" s="298">
        <v>450000</v>
      </c>
      <c r="K74" s="299" t="s">
        <v>148</v>
      </c>
      <c r="L74" s="300" t="s">
        <v>123</v>
      </c>
      <c r="M74" s="384">
        <v>15</v>
      </c>
      <c r="N74" s="384" t="s">
        <v>146</v>
      </c>
      <c r="O74" s="301" t="s">
        <v>138</v>
      </c>
      <c r="P74" s="298">
        <f>SUM(J74*M74)</f>
        <v>6750000</v>
      </c>
      <c r="Q74" s="49" t="s">
        <v>148</v>
      </c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197"/>
      <c r="AE74" s="197"/>
      <c r="AF74" s="197"/>
    </row>
    <row r="75" spans="1:32" s="30" customFormat="1" ht="15.95" customHeight="1">
      <c r="A75" s="39"/>
      <c r="B75" s="336"/>
      <c r="C75" s="495"/>
      <c r="D75" s="498"/>
      <c r="E75" s="498"/>
      <c r="F75" s="371"/>
      <c r="G75" s="489"/>
      <c r="H75" s="492"/>
      <c r="I75" s="297" t="s">
        <v>215</v>
      </c>
      <c r="J75" s="298">
        <v>1905945.9450000001</v>
      </c>
      <c r="K75" s="299" t="s">
        <v>148</v>
      </c>
      <c r="L75" s="300" t="s">
        <v>123</v>
      </c>
      <c r="M75" s="384">
        <v>37</v>
      </c>
      <c r="N75" s="384" t="s">
        <v>126</v>
      </c>
      <c r="O75" s="301" t="s">
        <v>138</v>
      </c>
      <c r="P75" s="298">
        <f>SUM(J75*M75)</f>
        <v>70519999.965000004</v>
      </c>
      <c r="Q75" s="49" t="s">
        <v>148</v>
      </c>
      <c r="AD75" s="31"/>
      <c r="AE75" s="141"/>
      <c r="AF75" s="141"/>
    </row>
    <row r="76" spans="1:32" s="30" customFormat="1" ht="15.95" customHeight="1">
      <c r="A76" s="39"/>
      <c r="B76" s="336"/>
      <c r="C76" s="495"/>
      <c r="D76" s="498"/>
      <c r="E76" s="498"/>
      <c r="F76" s="371"/>
      <c r="G76" s="489"/>
      <c r="H76" s="492"/>
      <c r="I76" s="297" t="s">
        <v>92</v>
      </c>
      <c r="J76" s="298">
        <v>400000</v>
      </c>
      <c r="K76" s="299" t="s">
        <v>148</v>
      </c>
      <c r="L76" s="300" t="s">
        <v>123</v>
      </c>
      <c r="M76" s="384">
        <v>2</v>
      </c>
      <c r="N76" s="384" t="s">
        <v>126</v>
      </c>
      <c r="O76" s="301" t="s">
        <v>138</v>
      </c>
      <c r="P76" s="298">
        <f>SUM(J76*M76)</f>
        <v>800000</v>
      </c>
      <c r="Q76" s="49" t="s">
        <v>148</v>
      </c>
      <c r="AD76" s="31"/>
      <c r="AE76" s="141"/>
      <c r="AF76" s="141"/>
    </row>
    <row r="77" spans="1:32" s="30" customFormat="1" ht="15.95" customHeight="1">
      <c r="A77" s="39"/>
      <c r="B77" s="336"/>
      <c r="C77" s="495"/>
      <c r="D77" s="498"/>
      <c r="E77" s="498"/>
      <c r="F77" s="371"/>
      <c r="G77" s="489"/>
      <c r="H77" s="492"/>
      <c r="I77" s="297" t="s">
        <v>412</v>
      </c>
      <c r="J77" s="298">
        <v>5000000</v>
      </c>
      <c r="K77" s="299" t="s">
        <v>148</v>
      </c>
      <c r="L77" s="300" t="s">
        <v>123</v>
      </c>
      <c r="M77" s="384">
        <v>2</v>
      </c>
      <c r="N77" s="384" t="s">
        <v>126</v>
      </c>
      <c r="O77" s="301" t="s">
        <v>138</v>
      </c>
      <c r="P77" s="298">
        <f>SUM(J77*M77)</f>
        <v>10000000</v>
      </c>
      <c r="Q77" s="49" t="s">
        <v>148</v>
      </c>
      <c r="AD77" s="31"/>
      <c r="AE77" s="141"/>
      <c r="AF77" s="141"/>
    </row>
    <row r="78" spans="1:32" s="30" customFormat="1" ht="15.95" customHeight="1">
      <c r="A78" s="39"/>
      <c r="B78" s="336"/>
      <c r="C78" s="495"/>
      <c r="D78" s="498"/>
      <c r="E78" s="498"/>
      <c r="F78" s="371"/>
      <c r="G78" s="489"/>
      <c r="H78" s="492"/>
      <c r="I78" s="297" t="s">
        <v>429</v>
      </c>
      <c r="J78" s="298">
        <v>50000</v>
      </c>
      <c r="K78" s="299" t="s">
        <v>148</v>
      </c>
      <c r="L78" s="300" t="s">
        <v>123</v>
      </c>
      <c r="M78" s="384">
        <v>4</v>
      </c>
      <c r="N78" s="384" t="s">
        <v>126</v>
      </c>
      <c r="O78" s="301" t="s">
        <v>138</v>
      </c>
      <c r="P78" s="298">
        <f>SUM(J78*M78)</f>
        <v>200000</v>
      </c>
      <c r="Q78" s="49" t="s">
        <v>148</v>
      </c>
      <c r="AD78" s="31"/>
      <c r="AE78" s="141"/>
      <c r="AF78" s="141"/>
    </row>
    <row r="79" spans="1:32" s="30" customFormat="1" ht="15.95" customHeight="1">
      <c r="A79" s="39"/>
      <c r="B79" s="336"/>
      <c r="C79" s="495"/>
      <c r="D79" s="498"/>
      <c r="E79" s="498"/>
      <c r="F79" s="371"/>
      <c r="G79" s="489"/>
      <c r="H79" s="492"/>
      <c r="I79" s="338" t="s">
        <v>244</v>
      </c>
      <c r="J79" s="298">
        <v>600000</v>
      </c>
      <c r="K79" s="299" t="s">
        <v>148</v>
      </c>
      <c r="L79" s="300" t="s">
        <v>123</v>
      </c>
      <c r="M79" s="384">
        <v>15</v>
      </c>
      <c r="N79" s="384" t="s">
        <v>146</v>
      </c>
      <c r="O79" s="301" t="s">
        <v>138</v>
      </c>
      <c r="P79" s="298">
        <f>+J79*M79</f>
        <v>9000000</v>
      </c>
      <c r="Q79" s="49" t="s">
        <v>148</v>
      </c>
      <c r="AD79" s="31"/>
      <c r="AE79" s="141"/>
      <c r="AF79" s="141"/>
    </row>
    <row r="80" spans="1:32" s="30" customFormat="1" ht="15.95" customHeight="1">
      <c r="A80" s="39"/>
      <c r="B80" s="336"/>
      <c r="C80" s="495"/>
      <c r="D80" s="498"/>
      <c r="E80" s="498"/>
      <c r="F80" s="371"/>
      <c r="G80" s="489"/>
      <c r="H80" s="492"/>
      <c r="I80" s="338" t="s">
        <v>386</v>
      </c>
      <c r="J80" s="298">
        <v>3400000</v>
      </c>
      <c r="K80" s="299" t="s">
        <v>148</v>
      </c>
      <c r="L80" s="300" t="s">
        <v>123</v>
      </c>
      <c r="M80" s="384">
        <v>3</v>
      </c>
      <c r="N80" s="384" t="s">
        <v>126</v>
      </c>
      <c r="O80" s="301" t="s">
        <v>138</v>
      </c>
      <c r="P80" s="298">
        <f>+J80*M80</f>
        <v>10200000</v>
      </c>
      <c r="Q80" s="49" t="s">
        <v>148</v>
      </c>
      <c r="AD80" s="31"/>
      <c r="AE80" s="141"/>
      <c r="AF80" s="141"/>
    </row>
    <row r="81" spans="1:32" s="30" customFormat="1" ht="15.95" customHeight="1">
      <c r="A81" s="107"/>
      <c r="B81" s="337"/>
      <c r="C81" s="496"/>
      <c r="D81" s="499"/>
      <c r="E81" s="499"/>
      <c r="F81" s="371"/>
      <c r="G81" s="490"/>
      <c r="H81" s="493"/>
      <c r="I81" s="180" t="s">
        <v>440</v>
      </c>
      <c r="J81" s="298">
        <v>1000000</v>
      </c>
      <c r="K81" s="299" t="s">
        <v>148</v>
      </c>
      <c r="L81" s="300" t="s">
        <v>123</v>
      </c>
      <c r="M81" s="384">
        <v>1</v>
      </c>
      <c r="N81" s="384" t="s">
        <v>126</v>
      </c>
      <c r="O81" s="301" t="s">
        <v>138</v>
      </c>
      <c r="P81" s="298">
        <f>+J81*M81</f>
        <v>1000000</v>
      </c>
      <c r="Q81" s="49" t="s">
        <v>148</v>
      </c>
      <c r="AD81" s="31"/>
      <c r="AE81" s="141"/>
      <c r="AF81" s="141"/>
    </row>
    <row r="82" spans="1:32" s="30" customFormat="1" ht="20.100000000000001" customHeight="1">
      <c r="A82" s="303" t="s">
        <v>167</v>
      </c>
      <c r="B82" s="429" t="s">
        <v>168</v>
      </c>
      <c r="C82" s="430"/>
      <c r="D82" s="247">
        <f>SUM(D83:D87)</f>
        <v>1253000</v>
      </c>
      <c r="E82" s="247">
        <f>SUM(E83:E87)</f>
        <v>2352887</v>
      </c>
      <c r="F82" s="248">
        <f>SUM(F83:F87)</f>
        <v>215364</v>
      </c>
      <c r="G82" s="249">
        <f>+E82-D82</f>
        <v>1099887</v>
      </c>
      <c r="H82" s="250">
        <f>+G82/D82*100</f>
        <v>87.780287310454909</v>
      </c>
      <c r="I82" s="214"/>
      <c r="J82" s="121"/>
      <c r="K82" s="62"/>
      <c r="L82" s="339"/>
      <c r="M82" s="339"/>
      <c r="N82" s="339"/>
      <c r="O82" s="339"/>
      <c r="P82" s="239">
        <f>SUM(P83,P85,P87)</f>
        <v>2352887000</v>
      </c>
      <c r="Q82" s="64" t="s">
        <v>148</v>
      </c>
      <c r="AD82" s="31"/>
      <c r="AE82" s="141"/>
      <c r="AF82" s="141"/>
    </row>
    <row r="83" spans="1:32" s="30" customFormat="1" ht="16.5" customHeight="1">
      <c r="A83" s="20" t="s">
        <v>121</v>
      </c>
      <c r="B83" s="344" t="s">
        <v>124</v>
      </c>
      <c r="C83" s="541" t="s">
        <v>124</v>
      </c>
      <c r="D83" s="498">
        <v>1250000</v>
      </c>
      <c r="E83" s="498">
        <f>+P83/1000</f>
        <v>2349887</v>
      </c>
      <c r="F83" s="534">
        <v>290</v>
      </c>
      <c r="G83" s="489">
        <f>+E83-D83</f>
        <v>1099887</v>
      </c>
      <c r="H83" s="504">
        <f>G83/D83*100</f>
        <v>87.990960000000001</v>
      </c>
      <c r="I83" s="302"/>
      <c r="J83" s="298"/>
      <c r="K83" s="299"/>
      <c r="L83" s="300"/>
      <c r="M83" s="384" t="s">
        <v>162</v>
      </c>
      <c r="N83" s="384"/>
      <c r="O83" s="384"/>
      <c r="P83" s="298">
        <f>SUM(P84:P84)</f>
        <v>2349887000</v>
      </c>
      <c r="Q83" s="49" t="s">
        <v>418</v>
      </c>
      <c r="AD83" s="31"/>
      <c r="AE83" s="141"/>
      <c r="AF83" s="141"/>
    </row>
    <row r="84" spans="1:32" s="30" customFormat="1" ht="16.5" customHeight="1">
      <c r="A84" s="39"/>
      <c r="B84" s="336"/>
      <c r="C84" s="542"/>
      <c r="D84" s="499"/>
      <c r="E84" s="499"/>
      <c r="F84" s="535"/>
      <c r="G84" s="490"/>
      <c r="H84" s="505"/>
      <c r="I84" s="199" t="s">
        <v>342</v>
      </c>
      <c r="J84" s="52">
        <v>2349887000</v>
      </c>
      <c r="K84" s="179" t="s">
        <v>148</v>
      </c>
      <c r="L84" s="72" t="s">
        <v>123</v>
      </c>
      <c r="M84" s="383">
        <v>1</v>
      </c>
      <c r="N84" s="383" t="s">
        <v>126</v>
      </c>
      <c r="O84" s="73" t="s">
        <v>138</v>
      </c>
      <c r="P84" s="52">
        <f>SUM(J84*M84)</f>
        <v>2349887000</v>
      </c>
      <c r="Q84" s="74" t="s">
        <v>148</v>
      </c>
      <c r="AD84" s="31"/>
      <c r="AE84" s="141"/>
      <c r="AF84" s="141"/>
    </row>
    <row r="85" spans="1:32" s="30" customFormat="1" ht="16.5" customHeight="1">
      <c r="A85" s="39"/>
      <c r="B85" s="336"/>
      <c r="C85" s="494" t="s">
        <v>354</v>
      </c>
      <c r="D85" s="497">
        <v>2000</v>
      </c>
      <c r="E85" s="497">
        <f>+P85/1000</f>
        <v>2000</v>
      </c>
      <c r="F85" s="533">
        <v>80074</v>
      </c>
      <c r="G85" s="488">
        <f>+E85-D85</f>
        <v>0</v>
      </c>
      <c r="H85" s="503">
        <f>+G85/D85*100</f>
        <v>0</v>
      </c>
      <c r="I85" s="302"/>
      <c r="J85" s="298" t="s">
        <v>450</v>
      </c>
      <c r="K85" s="299"/>
      <c r="L85" s="300"/>
      <c r="M85" s="384" t="s">
        <v>162</v>
      </c>
      <c r="N85" s="384"/>
      <c r="O85" s="384"/>
      <c r="P85" s="298">
        <f>SUM(P86:P86)</f>
        <v>2000000</v>
      </c>
      <c r="Q85" s="49" t="s">
        <v>148</v>
      </c>
      <c r="AD85" s="31"/>
      <c r="AE85" s="141"/>
      <c r="AF85" s="141"/>
    </row>
    <row r="86" spans="1:32" s="30" customFormat="1" ht="16.5" customHeight="1">
      <c r="A86" s="39"/>
      <c r="B86" s="336"/>
      <c r="C86" s="495"/>
      <c r="D86" s="498"/>
      <c r="E86" s="498"/>
      <c r="F86" s="534"/>
      <c r="G86" s="489"/>
      <c r="H86" s="504"/>
      <c r="I86" s="180" t="s">
        <v>97</v>
      </c>
      <c r="J86" s="298">
        <v>1000000</v>
      </c>
      <c r="K86" s="299" t="s">
        <v>148</v>
      </c>
      <c r="L86" s="72" t="s">
        <v>123</v>
      </c>
      <c r="M86" s="384">
        <v>2</v>
      </c>
      <c r="N86" s="384" t="s">
        <v>442</v>
      </c>
      <c r="O86" s="301" t="s">
        <v>138</v>
      </c>
      <c r="P86" s="298">
        <f>SUM(J86*M86)</f>
        <v>2000000</v>
      </c>
      <c r="Q86" s="49" t="s">
        <v>148</v>
      </c>
      <c r="AD86" s="31"/>
      <c r="AE86" s="141"/>
      <c r="AF86" s="141"/>
    </row>
    <row r="87" spans="1:32" s="30" customFormat="1" ht="16.5" customHeight="1">
      <c r="A87" s="39"/>
      <c r="B87" s="336"/>
      <c r="C87" s="560" t="s">
        <v>46</v>
      </c>
      <c r="D87" s="497">
        <v>1000</v>
      </c>
      <c r="E87" s="497">
        <f>+P87/1000</f>
        <v>1000</v>
      </c>
      <c r="F87" s="533">
        <v>135000</v>
      </c>
      <c r="G87" s="488">
        <f>+E87-D87</f>
        <v>0</v>
      </c>
      <c r="H87" s="503">
        <f>+G87/D87*100</f>
        <v>0</v>
      </c>
      <c r="I87" s="201"/>
      <c r="J87" s="43"/>
      <c r="K87" s="89"/>
      <c r="L87" s="53"/>
      <c r="M87" s="332" t="s">
        <v>162</v>
      </c>
      <c r="N87" s="332"/>
      <c r="O87" s="332"/>
      <c r="P87" s="43">
        <f>SUM(P88:P88)</f>
        <v>1000000</v>
      </c>
      <c r="Q87" s="38" t="s">
        <v>148</v>
      </c>
      <c r="AD87" s="31"/>
      <c r="AE87" s="141"/>
      <c r="AF87" s="141"/>
    </row>
    <row r="88" spans="1:32" s="30" customFormat="1" ht="16.5" customHeight="1" thickBot="1">
      <c r="A88" s="39"/>
      <c r="B88" s="336"/>
      <c r="C88" s="562"/>
      <c r="D88" s="499"/>
      <c r="E88" s="499"/>
      <c r="F88" s="535"/>
      <c r="G88" s="490"/>
      <c r="H88" s="504"/>
      <c r="I88" s="199" t="s">
        <v>230</v>
      </c>
      <c r="J88" s="52">
        <v>500000</v>
      </c>
      <c r="K88" s="179" t="s">
        <v>148</v>
      </c>
      <c r="L88" s="72" t="s">
        <v>123</v>
      </c>
      <c r="M88" s="383">
        <v>2</v>
      </c>
      <c r="N88" s="383" t="s">
        <v>126</v>
      </c>
      <c r="O88" s="73" t="s">
        <v>138</v>
      </c>
      <c r="P88" s="52">
        <f>J88*M88</f>
        <v>1000000</v>
      </c>
      <c r="Q88" s="74" t="s">
        <v>148</v>
      </c>
      <c r="AD88" s="31"/>
      <c r="AE88" s="141"/>
      <c r="AF88" s="141"/>
    </row>
    <row r="89" spans="1:32" ht="20.100000000000001" customHeight="1">
      <c r="A89" s="202" t="s">
        <v>144</v>
      </c>
      <c r="B89" s="558" t="s">
        <v>168</v>
      </c>
      <c r="C89" s="559"/>
      <c r="D89" s="203">
        <f>+D90+D103+D116+D137+D153+D159+D167+D171+D176+D186+D198</f>
        <v>1714895</v>
      </c>
      <c r="E89" s="203">
        <f>+E90+E103+E116+E137+E153+E159+E167+E171+E176+E186+E198</f>
        <v>1684811.2599999998</v>
      </c>
      <c r="F89" s="204" t="e">
        <f>+F90+F103+F137+#REF!+#REF!+#REF!+F159+F167+F176+#REF!+#REF!+F186+F198+#REF!</f>
        <v>#REF!</v>
      </c>
      <c r="G89" s="205">
        <f>+E89-D89</f>
        <v>-30083.740000000224</v>
      </c>
      <c r="H89" s="206">
        <f>+G89/D89*100</f>
        <v>-1.754261339615558</v>
      </c>
      <c r="I89" s="207"/>
      <c r="J89" s="208"/>
      <c r="K89" s="209"/>
      <c r="L89" s="210"/>
      <c r="M89" s="210"/>
      <c r="N89" s="210"/>
      <c r="O89" s="210"/>
      <c r="P89" s="208">
        <f>+P90+P103+P116+P137+P153+P159+P167+P171+P176+P186+P198</f>
        <v>1684811260</v>
      </c>
      <c r="Q89" s="211" t="s">
        <v>148</v>
      </c>
    </row>
    <row r="90" spans="1:32" ht="20.100000000000001" customHeight="1">
      <c r="A90" s="165"/>
      <c r="B90" s="212" t="s">
        <v>271</v>
      </c>
      <c r="C90" s="335" t="s">
        <v>169</v>
      </c>
      <c r="D90" s="374">
        <f>SUM(D91:D100,D101:D102)</f>
        <v>121422</v>
      </c>
      <c r="E90" s="374">
        <f>SUM(E91:E100,E101:E102)</f>
        <v>135338.35999999999</v>
      </c>
      <c r="F90" s="213">
        <f>SUM(F91:F100)</f>
        <v>59008</v>
      </c>
      <c r="G90" s="362">
        <f>+E90-D90</f>
        <v>13916.359999999986</v>
      </c>
      <c r="H90" s="363">
        <f>+G90/D90*100</f>
        <v>11.461152015285521</v>
      </c>
      <c r="I90" s="214"/>
      <c r="J90" s="121"/>
      <c r="K90" s="62"/>
      <c r="L90" s="339"/>
      <c r="M90" s="441" t="s">
        <v>162</v>
      </c>
      <c r="N90" s="441"/>
      <c r="O90" s="441"/>
      <c r="P90" s="121">
        <f>SUM(P91,P95,P98,P101)</f>
        <v>135338360</v>
      </c>
      <c r="Q90" s="86" t="s">
        <v>148</v>
      </c>
    </row>
    <row r="91" spans="1:32" ht="15.95" customHeight="1">
      <c r="A91" s="165"/>
      <c r="B91" s="215" t="s">
        <v>335</v>
      </c>
      <c r="C91" s="543" t="s">
        <v>87</v>
      </c>
      <c r="D91" s="546">
        <v>40700</v>
      </c>
      <c r="E91" s="546">
        <f>+P91/1000</f>
        <v>53436.36</v>
      </c>
      <c r="F91" s="536">
        <v>896</v>
      </c>
      <c r="G91" s="527">
        <f>+E91-D91</f>
        <v>12736.36</v>
      </c>
      <c r="H91" s="524">
        <f>+G91/D91*100</f>
        <v>31.293267813267818</v>
      </c>
      <c r="I91" s="182"/>
      <c r="J91" s="54"/>
      <c r="K91" s="89"/>
      <c r="L91" s="89"/>
      <c r="M91" s="425" t="s">
        <v>162</v>
      </c>
      <c r="N91" s="425"/>
      <c r="O91" s="425"/>
      <c r="P91" s="37">
        <f>SUM(P92:P94)</f>
        <v>53436360</v>
      </c>
      <c r="Q91" s="38" t="s">
        <v>148</v>
      </c>
    </row>
    <row r="92" spans="1:32" ht="15.95" customHeight="1">
      <c r="A92" s="165"/>
      <c r="B92" s="181"/>
      <c r="C92" s="544"/>
      <c r="D92" s="547"/>
      <c r="E92" s="547"/>
      <c r="F92" s="537"/>
      <c r="G92" s="528"/>
      <c r="H92" s="525"/>
      <c r="I92" s="302" t="s">
        <v>116</v>
      </c>
      <c r="J92" s="305">
        <v>38600000</v>
      </c>
      <c r="K92" s="299" t="s">
        <v>148</v>
      </c>
      <c r="L92" s="300" t="s">
        <v>123</v>
      </c>
      <c r="M92" s="384">
        <v>1</v>
      </c>
      <c r="N92" s="384" t="s">
        <v>133</v>
      </c>
      <c r="O92" s="301" t="s">
        <v>138</v>
      </c>
      <c r="P92" s="305">
        <f>SUM(J92*M92)</f>
        <v>38600000</v>
      </c>
      <c r="Q92" s="49" t="s">
        <v>148</v>
      </c>
    </row>
    <row r="93" spans="1:32" ht="15.95" customHeight="1">
      <c r="A93" s="165"/>
      <c r="B93" s="181"/>
      <c r="C93" s="544"/>
      <c r="D93" s="547"/>
      <c r="E93" s="547"/>
      <c r="F93" s="537"/>
      <c r="G93" s="528"/>
      <c r="H93" s="525"/>
      <c r="I93" s="338" t="s">
        <v>379</v>
      </c>
      <c r="J93" s="305">
        <v>600000</v>
      </c>
      <c r="K93" s="299" t="s">
        <v>148</v>
      </c>
      <c r="L93" s="384" t="s">
        <v>123</v>
      </c>
      <c r="M93" s="384">
        <v>2</v>
      </c>
      <c r="N93" s="384" t="s">
        <v>126</v>
      </c>
      <c r="O93" s="301" t="s">
        <v>138</v>
      </c>
      <c r="P93" s="305">
        <f>SUM(J93*M93)</f>
        <v>1200000</v>
      </c>
      <c r="Q93" s="49" t="s">
        <v>148</v>
      </c>
    </row>
    <row r="94" spans="1:32" ht="15.95" customHeight="1">
      <c r="A94" s="165"/>
      <c r="B94" s="336"/>
      <c r="C94" s="545"/>
      <c r="D94" s="548"/>
      <c r="E94" s="548"/>
      <c r="F94" s="538"/>
      <c r="G94" s="529">
        <f>+E94-D94</f>
        <v>0</v>
      </c>
      <c r="H94" s="526" t="e">
        <f>+G94/D94*100</f>
        <v>#DIV/0!</v>
      </c>
      <c r="I94" s="178" t="s">
        <v>456</v>
      </c>
      <c r="J94" s="71">
        <v>6818180</v>
      </c>
      <c r="K94" s="179" t="s">
        <v>148</v>
      </c>
      <c r="L94" s="383" t="s">
        <v>123</v>
      </c>
      <c r="M94" s="383">
        <v>2</v>
      </c>
      <c r="N94" s="383" t="s">
        <v>126</v>
      </c>
      <c r="O94" s="73" t="s">
        <v>138</v>
      </c>
      <c r="P94" s="71">
        <f>SUM(J94*M94)</f>
        <v>13636360</v>
      </c>
      <c r="Q94" s="74" t="s">
        <v>148</v>
      </c>
    </row>
    <row r="95" spans="1:32" ht="15.95" customHeight="1">
      <c r="A95" s="165"/>
      <c r="B95" s="336"/>
      <c r="C95" s="585" t="s">
        <v>391</v>
      </c>
      <c r="D95" s="520">
        <v>15200</v>
      </c>
      <c r="E95" s="520">
        <f>+P95/1000</f>
        <v>15200</v>
      </c>
      <c r="F95" s="533">
        <v>8000</v>
      </c>
      <c r="G95" s="506">
        <f>+E95-D95</f>
        <v>0</v>
      </c>
      <c r="H95" s="500">
        <f>+G95/D95*100</f>
        <v>0</v>
      </c>
      <c r="I95" s="175"/>
      <c r="J95" s="54"/>
      <c r="K95" s="89"/>
      <c r="L95" s="53"/>
      <c r="M95" s="425" t="s">
        <v>162</v>
      </c>
      <c r="N95" s="425"/>
      <c r="O95" s="425"/>
      <c r="P95" s="54">
        <f>SUM(P96:P97)</f>
        <v>15200000</v>
      </c>
      <c r="Q95" s="38" t="s">
        <v>148</v>
      </c>
    </row>
    <row r="96" spans="1:32" ht="15.95" customHeight="1">
      <c r="A96" s="165"/>
      <c r="B96" s="336"/>
      <c r="C96" s="586"/>
      <c r="D96" s="532"/>
      <c r="E96" s="532"/>
      <c r="F96" s="534"/>
      <c r="G96" s="508"/>
      <c r="H96" s="501"/>
      <c r="I96" s="297" t="s">
        <v>73</v>
      </c>
      <c r="J96" s="305">
        <v>5000000</v>
      </c>
      <c r="K96" s="299" t="s">
        <v>148</v>
      </c>
      <c r="L96" s="384" t="s">
        <v>123</v>
      </c>
      <c r="M96" s="384">
        <v>1</v>
      </c>
      <c r="N96" s="384" t="s">
        <v>151</v>
      </c>
      <c r="O96" s="384" t="s">
        <v>138</v>
      </c>
      <c r="P96" s="305">
        <f>J96*M96</f>
        <v>5000000</v>
      </c>
      <c r="Q96" s="49" t="s">
        <v>148</v>
      </c>
    </row>
    <row r="97" spans="1:17" ht="15.95" customHeight="1">
      <c r="A97" s="165"/>
      <c r="B97" s="336"/>
      <c r="C97" s="587"/>
      <c r="D97" s="521"/>
      <c r="E97" s="521"/>
      <c r="F97" s="535"/>
      <c r="G97" s="507"/>
      <c r="H97" s="502"/>
      <c r="I97" s="216" t="s">
        <v>69</v>
      </c>
      <c r="J97" s="71">
        <v>5100000</v>
      </c>
      <c r="K97" s="179" t="s">
        <v>148</v>
      </c>
      <c r="L97" s="383" t="s">
        <v>123</v>
      </c>
      <c r="M97" s="383">
        <v>2</v>
      </c>
      <c r="N97" s="383" t="s">
        <v>151</v>
      </c>
      <c r="O97" s="73" t="s">
        <v>138</v>
      </c>
      <c r="P97" s="71">
        <f>SUM(J97*M97)</f>
        <v>10200000</v>
      </c>
      <c r="Q97" s="74" t="s">
        <v>148</v>
      </c>
    </row>
    <row r="98" spans="1:17" ht="15.95" customHeight="1">
      <c r="A98" s="217"/>
      <c r="B98" s="218"/>
      <c r="C98" s="560" t="s">
        <v>400</v>
      </c>
      <c r="D98" s="520">
        <v>65500</v>
      </c>
      <c r="E98" s="520">
        <f>+P98/1000</f>
        <v>66680</v>
      </c>
      <c r="F98" s="533">
        <v>50112</v>
      </c>
      <c r="G98" s="506">
        <f>+E98-D98</f>
        <v>1180</v>
      </c>
      <c r="H98" s="500">
        <f>+G98/D98*100</f>
        <v>1.801526717557252</v>
      </c>
      <c r="I98" s="175"/>
      <c r="J98" s="54"/>
      <c r="K98" s="89"/>
      <c r="L98" s="53"/>
      <c r="M98" s="425" t="s">
        <v>162</v>
      </c>
      <c r="N98" s="425"/>
      <c r="O98" s="425"/>
      <c r="P98" s="54">
        <f>SUM(P99:P100)</f>
        <v>66680000</v>
      </c>
      <c r="Q98" s="38" t="s">
        <v>148</v>
      </c>
    </row>
    <row r="99" spans="1:17" ht="15.95" customHeight="1">
      <c r="A99" s="217"/>
      <c r="B99" s="218"/>
      <c r="C99" s="561"/>
      <c r="D99" s="532"/>
      <c r="E99" s="532"/>
      <c r="F99" s="534"/>
      <c r="G99" s="508">
        <f>+E99-D99</f>
        <v>0</v>
      </c>
      <c r="H99" s="501" t="e">
        <f>+G99/D99*100</f>
        <v>#DIV/0!</v>
      </c>
      <c r="I99" s="338" t="s">
        <v>83</v>
      </c>
      <c r="J99" s="305">
        <v>65380000</v>
      </c>
      <c r="K99" s="299" t="s">
        <v>148</v>
      </c>
      <c r="L99" s="300" t="s">
        <v>123</v>
      </c>
      <c r="M99" s="384">
        <v>1</v>
      </c>
      <c r="N99" s="384" t="s">
        <v>126</v>
      </c>
      <c r="O99" s="384" t="s">
        <v>138</v>
      </c>
      <c r="P99" s="305">
        <f>J99*M99</f>
        <v>65380000</v>
      </c>
      <c r="Q99" s="49" t="s">
        <v>148</v>
      </c>
    </row>
    <row r="100" spans="1:17" ht="15.95" customHeight="1">
      <c r="A100" s="165"/>
      <c r="B100" s="336"/>
      <c r="C100" s="561"/>
      <c r="D100" s="532"/>
      <c r="E100" s="532"/>
      <c r="F100" s="534"/>
      <c r="G100" s="508"/>
      <c r="H100" s="501"/>
      <c r="I100" s="338" t="s">
        <v>86</v>
      </c>
      <c r="J100" s="305">
        <v>1300000</v>
      </c>
      <c r="K100" s="299" t="s">
        <v>148</v>
      </c>
      <c r="L100" s="300" t="s">
        <v>123</v>
      </c>
      <c r="M100" s="384">
        <v>1</v>
      </c>
      <c r="N100" s="384" t="s">
        <v>133</v>
      </c>
      <c r="O100" s="384" t="s">
        <v>138</v>
      </c>
      <c r="P100" s="305">
        <f>J100*M100</f>
        <v>1300000</v>
      </c>
      <c r="Q100" s="49" t="s">
        <v>148</v>
      </c>
    </row>
    <row r="101" spans="1:17" ht="15.95" customHeight="1">
      <c r="A101" s="217"/>
      <c r="B101" s="181"/>
      <c r="C101" s="560" t="s">
        <v>385</v>
      </c>
      <c r="D101" s="520">
        <v>22</v>
      </c>
      <c r="E101" s="520">
        <f>P101/1000</f>
        <v>22</v>
      </c>
      <c r="F101" s="372"/>
      <c r="G101" s="506">
        <f>E101-D101</f>
        <v>0</v>
      </c>
      <c r="H101" s="500">
        <f>G101/D101*100</f>
        <v>0</v>
      </c>
      <c r="I101" s="175"/>
      <c r="J101" s="54"/>
      <c r="K101" s="89"/>
      <c r="L101" s="53"/>
      <c r="M101" s="425" t="s">
        <v>162</v>
      </c>
      <c r="N101" s="425"/>
      <c r="O101" s="425"/>
      <c r="P101" s="54">
        <f>SUM(P102:P102)</f>
        <v>22000</v>
      </c>
      <c r="Q101" s="38" t="s">
        <v>148</v>
      </c>
    </row>
    <row r="102" spans="1:17" ht="15.95" customHeight="1">
      <c r="A102" s="217"/>
      <c r="B102" s="69"/>
      <c r="C102" s="496"/>
      <c r="D102" s="521"/>
      <c r="E102" s="521"/>
      <c r="F102" s="372"/>
      <c r="G102" s="507"/>
      <c r="H102" s="502"/>
      <c r="I102" s="216" t="s">
        <v>397</v>
      </c>
      <c r="J102" s="71">
        <v>22000</v>
      </c>
      <c r="K102" s="179" t="s">
        <v>148</v>
      </c>
      <c r="L102" s="72" t="s">
        <v>123</v>
      </c>
      <c r="M102" s="383">
        <v>1</v>
      </c>
      <c r="N102" s="383" t="s">
        <v>126</v>
      </c>
      <c r="O102" s="383" t="s">
        <v>138</v>
      </c>
      <c r="P102" s="71">
        <f>J102*M102</f>
        <v>22000</v>
      </c>
      <c r="Q102" s="74" t="s">
        <v>148</v>
      </c>
    </row>
    <row r="103" spans="1:17" ht="20.100000000000001" customHeight="1">
      <c r="A103" s="217" t="s">
        <v>419</v>
      </c>
      <c r="B103" s="40" t="s">
        <v>281</v>
      </c>
      <c r="C103" s="219" t="s">
        <v>350</v>
      </c>
      <c r="D103" s="220">
        <f>SUM(D104:D114)</f>
        <v>96250</v>
      </c>
      <c r="E103" s="220">
        <f>P103/1000</f>
        <v>94100</v>
      </c>
      <c r="F103" s="221">
        <f>SUM(F104:F116)</f>
        <v>145152</v>
      </c>
      <c r="G103" s="348">
        <f>+E103-D103</f>
        <v>-2150</v>
      </c>
      <c r="H103" s="359">
        <f>+G103/D103*100</f>
        <v>-2.2337662337662336</v>
      </c>
      <c r="I103" s="178"/>
      <c r="J103" s="52"/>
      <c r="K103" s="179"/>
      <c r="L103" s="179"/>
      <c r="M103" s="573"/>
      <c r="N103" s="573"/>
      <c r="O103" s="573"/>
      <c r="P103" s="222">
        <f>SUM(P104,P107,P109,P112,P114)</f>
        <v>94100000</v>
      </c>
      <c r="Q103" s="74" t="s">
        <v>148</v>
      </c>
    </row>
    <row r="104" spans="1:17" ht="15.75" customHeight="1">
      <c r="A104" s="165"/>
      <c r="B104" s="344"/>
      <c r="C104" s="494" t="s">
        <v>260</v>
      </c>
      <c r="D104" s="520">
        <v>19850</v>
      </c>
      <c r="E104" s="520">
        <f>+P104/1000</f>
        <v>21200</v>
      </c>
      <c r="F104" s="533">
        <v>96000</v>
      </c>
      <c r="G104" s="506">
        <f>+E104-D104</f>
        <v>1350</v>
      </c>
      <c r="H104" s="500">
        <f>+G104/D104*100</f>
        <v>6.8010075566750636</v>
      </c>
      <c r="I104" s="182"/>
      <c r="J104" s="54"/>
      <c r="K104" s="89"/>
      <c r="L104" s="53"/>
      <c r="M104" s="425" t="s">
        <v>162</v>
      </c>
      <c r="N104" s="425"/>
      <c r="O104" s="425"/>
      <c r="P104" s="37">
        <f>SUM(P105:P106)</f>
        <v>21200000</v>
      </c>
      <c r="Q104" s="38" t="s">
        <v>148</v>
      </c>
    </row>
    <row r="105" spans="1:17" ht="15.75" customHeight="1">
      <c r="A105" s="165"/>
      <c r="B105" s="336"/>
      <c r="C105" s="495"/>
      <c r="D105" s="532"/>
      <c r="E105" s="532"/>
      <c r="F105" s="534"/>
      <c r="G105" s="508"/>
      <c r="H105" s="501"/>
      <c r="I105" s="297" t="s">
        <v>101</v>
      </c>
      <c r="J105" s="305">
        <v>100000</v>
      </c>
      <c r="K105" s="299" t="s">
        <v>148</v>
      </c>
      <c r="L105" s="300" t="s">
        <v>123</v>
      </c>
      <c r="M105" s="384">
        <v>2</v>
      </c>
      <c r="N105" s="384" t="s">
        <v>126</v>
      </c>
      <c r="O105" s="384" t="s">
        <v>138</v>
      </c>
      <c r="P105" s="306">
        <f>J105*M105</f>
        <v>200000</v>
      </c>
      <c r="Q105" s="49" t="s">
        <v>148</v>
      </c>
    </row>
    <row r="106" spans="1:17" ht="15.75" customHeight="1">
      <c r="A106" s="165"/>
      <c r="B106" s="336"/>
      <c r="C106" s="496"/>
      <c r="D106" s="521"/>
      <c r="E106" s="521"/>
      <c r="F106" s="535"/>
      <c r="G106" s="507"/>
      <c r="H106" s="502"/>
      <c r="I106" s="192" t="s">
        <v>213</v>
      </c>
      <c r="J106" s="71">
        <v>5250000</v>
      </c>
      <c r="K106" s="179" t="s">
        <v>148</v>
      </c>
      <c r="L106" s="72" t="s">
        <v>123</v>
      </c>
      <c r="M106" s="383">
        <v>4</v>
      </c>
      <c r="N106" s="383" t="s">
        <v>126</v>
      </c>
      <c r="O106" s="73" t="s">
        <v>138</v>
      </c>
      <c r="P106" s="71">
        <v>21000000</v>
      </c>
      <c r="Q106" s="74" t="s">
        <v>148</v>
      </c>
    </row>
    <row r="107" spans="1:17" ht="15.75" customHeight="1">
      <c r="A107" s="165"/>
      <c r="B107" s="336"/>
      <c r="C107" s="557" t="s">
        <v>358</v>
      </c>
      <c r="D107" s="523">
        <v>18000</v>
      </c>
      <c r="E107" s="523">
        <f>+P107/1000</f>
        <v>15700</v>
      </c>
      <c r="F107" s="522">
        <v>11052</v>
      </c>
      <c r="G107" s="530">
        <f>+E107-D107</f>
        <v>-2300</v>
      </c>
      <c r="H107" s="578">
        <f>+G107/D107*100</f>
        <v>-12.777777777777777</v>
      </c>
      <c r="I107" s="175"/>
      <c r="J107" s="54"/>
      <c r="K107" s="89"/>
      <c r="L107" s="53"/>
      <c r="M107" s="425" t="s">
        <v>162</v>
      </c>
      <c r="N107" s="425"/>
      <c r="O107" s="425"/>
      <c r="P107" s="54">
        <f>SUM(P108:P108)</f>
        <v>15700000</v>
      </c>
      <c r="Q107" s="38" t="s">
        <v>148</v>
      </c>
    </row>
    <row r="108" spans="1:17" ht="15.75" customHeight="1">
      <c r="A108" s="165"/>
      <c r="B108" s="336"/>
      <c r="C108" s="557"/>
      <c r="D108" s="523"/>
      <c r="E108" s="523"/>
      <c r="F108" s="522"/>
      <c r="G108" s="530"/>
      <c r="H108" s="578"/>
      <c r="I108" s="338" t="s">
        <v>372</v>
      </c>
      <c r="J108" s="305">
        <v>1500000</v>
      </c>
      <c r="K108" s="299" t="s">
        <v>148</v>
      </c>
      <c r="L108" s="300" t="s">
        <v>123</v>
      </c>
      <c r="M108" s="384">
        <v>12</v>
      </c>
      <c r="N108" s="384" t="s">
        <v>126</v>
      </c>
      <c r="O108" s="384" t="s">
        <v>138</v>
      </c>
      <c r="P108" s="305">
        <v>15700000</v>
      </c>
      <c r="Q108" s="49" t="s">
        <v>148</v>
      </c>
    </row>
    <row r="109" spans="1:17" ht="15.95" customHeight="1">
      <c r="A109" s="217"/>
      <c r="B109" s="344"/>
      <c r="C109" s="494" t="s">
        <v>201</v>
      </c>
      <c r="D109" s="520">
        <v>26000</v>
      </c>
      <c r="E109" s="520">
        <f>+P109/1000</f>
        <v>29000</v>
      </c>
      <c r="F109" s="522">
        <v>20000</v>
      </c>
      <c r="G109" s="506">
        <f>+E109-D109</f>
        <v>3000</v>
      </c>
      <c r="H109" s="509">
        <f>+G109/D109*100</f>
        <v>11.538461538461538</v>
      </c>
      <c r="I109" s="175"/>
      <c r="J109" s="54"/>
      <c r="K109" s="89"/>
      <c r="L109" s="53"/>
      <c r="M109" s="425" t="s">
        <v>162</v>
      </c>
      <c r="N109" s="425"/>
      <c r="O109" s="425"/>
      <c r="P109" s="54">
        <f>SUM(P110:P111)</f>
        <v>29000000</v>
      </c>
      <c r="Q109" s="38" t="s">
        <v>148</v>
      </c>
    </row>
    <row r="110" spans="1:17" ht="15.95" customHeight="1">
      <c r="A110" s="165"/>
      <c r="B110" s="223"/>
      <c r="C110" s="495"/>
      <c r="D110" s="532"/>
      <c r="E110" s="532"/>
      <c r="F110" s="522"/>
      <c r="G110" s="508"/>
      <c r="H110" s="510"/>
      <c r="I110" s="338" t="s">
        <v>356</v>
      </c>
      <c r="J110" s="305">
        <v>13000000</v>
      </c>
      <c r="K110" s="299" t="s">
        <v>148</v>
      </c>
      <c r="L110" s="300" t="s">
        <v>123</v>
      </c>
      <c r="M110" s="384">
        <v>2</v>
      </c>
      <c r="N110" s="384" t="s">
        <v>126</v>
      </c>
      <c r="O110" s="301" t="s">
        <v>138</v>
      </c>
      <c r="P110" s="305">
        <v>26000000</v>
      </c>
      <c r="Q110" s="49" t="s">
        <v>148</v>
      </c>
    </row>
    <row r="111" spans="1:17" ht="15.95" customHeight="1">
      <c r="A111" s="165"/>
      <c r="B111" s="223"/>
      <c r="C111" s="496"/>
      <c r="D111" s="521"/>
      <c r="E111" s="521"/>
      <c r="F111" s="370"/>
      <c r="G111" s="507"/>
      <c r="H111" s="511"/>
      <c r="I111" s="338" t="s">
        <v>349</v>
      </c>
      <c r="J111" s="305">
        <v>3000000</v>
      </c>
      <c r="K111" s="299" t="s">
        <v>148</v>
      </c>
      <c r="L111" s="300" t="s">
        <v>123</v>
      </c>
      <c r="M111" s="384">
        <v>1</v>
      </c>
      <c r="N111" s="384" t="s">
        <v>126</v>
      </c>
      <c r="O111" s="301" t="s">
        <v>138</v>
      </c>
      <c r="P111" s="305">
        <f>SUM(J111*M111)</f>
        <v>3000000</v>
      </c>
      <c r="Q111" s="49" t="s">
        <v>148</v>
      </c>
    </row>
    <row r="112" spans="1:17" ht="15.95" customHeight="1">
      <c r="A112" s="165"/>
      <c r="B112" s="223"/>
      <c r="C112" s="494" t="s">
        <v>203</v>
      </c>
      <c r="D112" s="520">
        <v>22800</v>
      </c>
      <c r="E112" s="520">
        <f>+P112/1000</f>
        <v>19200</v>
      </c>
      <c r="F112" s="370"/>
      <c r="G112" s="506">
        <f>+E112-D112</f>
        <v>-3600</v>
      </c>
      <c r="H112" s="579">
        <f>+G112/D112*100</f>
        <v>-15.789473684210526</v>
      </c>
      <c r="I112" s="175"/>
      <c r="J112" s="54"/>
      <c r="K112" s="89"/>
      <c r="L112" s="53"/>
      <c r="M112" s="425" t="s">
        <v>162</v>
      </c>
      <c r="N112" s="425"/>
      <c r="O112" s="425"/>
      <c r="P112" s="54">
        <f>SUM(P113:P113)</f>
        <v>19200000</v>
      </c>
      <c r="Q112" s="38" t="s">
        <v>148</v>
      </c>
    </row>
    <row r="113" spans="1:17" ht="15.95" customHeight="1">
      <c r="A113" s="165"/>
      <c r="B113" s="336"/>
      <c r="C113" s="496"/>
      <c r="D113" s="521"/>
      <c r="E113" s="521"/>
      <c r="F113" s="221"/>
      <c r="G113" s="507"/>
      <c r="H113" s="580"/>
      <c r="I113" s="199" t="s">
        <v>356</v>
      </c>
      <c r="J113" s="386">
        <v>4800000</v>
      </c>
      <c r="K113" s="179" t="s">
        <v>148</v>
      </c>
      <c r="L113" s="72" t="s">
        <v>123</v>
      </c>
      <c r="M113" s="383">
        <v>4</v>
      </c>
      <c r="N113" s="383" t="s">
        <v>126</v>
      </c>
      <c r="O113" s="73" t="s">
        <v>138</v>
      </c>
      <c r="P113" s="386">
        <f>SUM(J113*M113)</f>
        <v>19200000</v>
      </c>
      <c r="Q113" s="74" t="s">
        <v>148</v>
      </c>
    </row>
    <row r="114" spans="1:17" ht="15.95" customHeight="1">
      <c r="A114" s="165"/>
      <c r="B114" s="336"/>
      <c r="C114" s="554" t="s">
        <v>219</v>
      </c>
      <c r="D114" s="520">
        <v>9600</v>
      </c>
      <c r="E114" s="520">
        <f>+P114/1000</f>
        <v>9000</v>
      </c>
      <c r="F114" s="533">
        <v>18100</v>
      </c>
      <c r="G114" s="506">
        <f>+E114-D114</f>
        <v>-600</v>
      </c>
      <c r="H114" s="500">
        <f>+G114/D114*100</f>
        <v>-6.25</v>
      </c>
      <c r="I114" s="182"/>
      <c r="J114" s="54"/>
      <c r="K114" s="89"/>
      <c r="L114" s="53"/>
      <c r="M114" s="425" t="s">
        <v>162</v>
      </c>
      <c r="N114" s="425"/>
      <c r="O114" s="425"/>
      <c r="P114" s="54">
        <f>SUM(P115:P115)</f>
        <v>9000000</v>
      </c>
      <c r="Q114" s="38" t="s">
        <v>148</v>
      </c>
    </row>
    <row r="115" spans="1:17" ht="15.95" customHeight="1">
      <c r="A115" s="165"/>
      <c r="B115" s="337"/>
      <c r="C115" s="542"/>
      <c r="D115" s="521"/>
      <c r="E115" s="521"/>
      <c r="F115" s="535"/>
      <c r="G115" s="507">
        <f>+E115-D115</f>
        <v>0</v>
      </c>
      <c r="H115" s="502" t="e">
        <f>+G115/D115*100</f>
        <v>#DIV/0!</v>
      </c>
      <c r="I115" s="192" t="s">
        <v>213</v>
      </c>
      <c r="J115" s="71">
        <v>2250000</v>
      </c>
      <c r="K115" s="179" t="s">
        <v>148</v>
      </c>
      <c r="L115" s="72" t="s">
        <v>123</v>
      </c>
      <c r="M115" s="383">
        <v>4</v>
      </c>
      <c r="N115" s="383" t="s">
        <v>126</v>
      </c>
      <c r="O115" s="73" t="s">
        <v>138</v>
      </c>
      <c r="P115" s="71">
        <f>SUM(J115*M115)</f>
        <v>9000000</v>
      </c>
      <c r="Q115" s="74" t="s">
        <v>148</v>
      </c>
    </row>
    <row r="116" spans="1:17" ht="20.100000000000001" customHeight="1">
      <c r="A116" s="217"/>
      <c r="B116" s="224" t="s">
        <v>357</v>
      </c>
      <c r="C116" s="373" t="s">
        <v>169</v>
      </c>
      <c r="D116" s="369">
        <f>SUM(D117:D135)</f>
        <v>955489</v>
      </c>
      <c r="E116" s="369">
        <f>P116/1000</f>
        <v>987289</v>
      </c>
      <c r="F116" s="371"/>
      <c r="G116" s="361">
        <f>E116-D116</f>
        <v>31800</v>
      </c>
      <c r="H116" s="225">
        <f>G116/D116*100</f>
        <v>3.3281387854805238</v>
      </c>
      <c r="I116" s="297"/>
      <c r="J116" s="305"/>
      <c r="K116" s="299"/>
      <c r="L116" s="300"/>
      <c r="M116" s="441"/>
      <c r="N116" s="441"/>
      <c r="O116" s="441"/>
      <c r="P116" s="305">
        <f>SUM(P117,P120,P122,P128,P130,P132,P134)</f>
        <v>987289000</v>
      </c>
      <c r="Q116" s="74" t="s">
        <v>148</v>
      </c>
    </row>
    <row r="117" spans="1:17" ht="15.95" customHeight="1">
      <c r="A117" s="165"/>
      <c r="B117" s="218" t="s">
        <v>351</v>
      </c>
      <c r="C117" s="494" t="s">
        <v>275</v>
      </c>
      <c r="D117" s="520">
        <v>20500</v>
      </c>
      <c r="E117" s="520">
        <f>P117/1000</f>
        <v>79600</v>
      </c>
      <c r="F117" s="370"/>
      <c r="G117" s="506">
        <f>E117-D117</f>
        <v>59100</v>
      </c>
      <c r="H117" s="500">
        <f>G117/D117*100</f>
        <v>288.29268292682923</v>
      </c>
      <c r="I117" s="182"/>
      <c r="J117" s="54"/>
      <c r="K117" s="89"/>
      <c r="L117" s="53"/>
      <c r="M117" s="425" t="s">
        <v>162</v>
      </c>
      <c r="N117" s="425"/>
      <c r="O117" s="425"/>
      <c r="P117" s="54">
        <f>SUM(P118:P119)</f>
        <v>79600000</v>
      </c>
      <c r="Q117" s="38" t="s">
        <v>148</v>
      </c>
    </row>
    <row r="118" spans="1:17" ht="15.95" customHeight="1">
      <c r="A118" s="165"/>
      <c r="B118" s="226"/>
      <c r="C118" s="495"/>
      <c r="D118" s="532"/>
      <c r="E118" s="532"/>
      <c r="F118" s="371"/>
      <c r="G118" s="508"/>
      <c r="H118" s="501"/>
      <c r="I118" s="297" t="s">
        <v>426</v>
      </c>
      <c r="J118" s="305">
        <v>59500000</v>
      </c>
      <c r="K118" s="299" t="s">
        <v>148</v>
      </c>
      <c r="L118" s="300" t="s">
        <v>123</v>
      </c>
      <c r="M118" s="384">
        <v>1</v>
      </c>
      <c r="N118" s="384" t="s">
        <v>126</v>
      </c>
      <c r="O118" s="301" t="s">
        <v>138</v>
      </c>
      <c r="P118" s="305">
        <f>SUM(J118*M118)</f>
        <v>59500000</v>
      </c>
      <c r="Q118" s="49" t="s">
        <v>148</v>
      </c>
    </row>
    <row r="119" spans="1:17" ht="15.95" customHeight="1">
      <c r="A119" s="165"/>
      <c r="B119" s="226"/>
      <c r="C119" s="496"/>
      <c r="D119" s="521"/>
      <c r="E119" s="521"/>
      <c r="F119" s="372"/>
      <c r="G119" s="507"/>
      <c r="H119" s="501"/>
      <c r="I119" s="192" t="s">
        <v>427</v>
      </c>
      <c r="J119" s="71">
        <v>10050000</v>
      </c>
      <c r="K119" s="179" t="s">
        <v>148</v>
      </c>
      <c r="L119" s="72" t="s">
        <v>123</v>
      </c>
      <c r="M119" s="383">
        <v>2</v>
      </c>
      <c r="N119" s="383" t="s">
        <v>126</v>
      </c>
      <c r="O119" s="73" t="s">
        <v>138</v>
      </c>
      <c r="P119" s="71">
        <f>SUM(J119*M119)</f>
        <v>20100000</v>
      </c>
      <c r="Q119" s="74" t="s">
        <v>148</v>
      </c>
    </row>
    <row r="120" spans="1:17" ht="15.95" customHeight="1">
      <c r="A120" s="165"/>
      <c r="B120" s="336"/>
      <c r="C120" s="494" t="s">
        <v>255</v>
      </c>
      <c r="D120" s="520">
        <v>100</v>
      </c>
      <c r="E120" s="520">
        <f>+P120/1000</f>
        <v>100</v>
      </c>
      <c r="F120" s="533">
        <v>0</v>
      </c>
      <c r="G120" s="506">
        <f>+E120-D120</f>
        <v>0</v>
      </c>
      <c r="H120" s="509">
        <f>+G120/D120*100</f>
        <v>0</v>
      </c>
      <c r="I120" s="182"/>
      <c r="J120" s="54"/>
      <c r="K120" s="89"/>
      <c r="L120" s="53"/>
      <c r="M120" s="425" t="s">
        <v>162</v>
      </c>
      <c r="N120" s="425"/>
      <c r="O120" s="425"/>
      <c r="P120" s="54">
        <f>SUM(P121)</f>
        <v>100000</v>
      </c>
      <c r="Q120" s="38" t="s">
        <v>148</v>
      </c>
    </row>
    <row r="121" spans="1:17" ht="15.95" customHeight="1">
      <c r="A121" s="165"/>
      <c r="B121" s="336"/>
      <c r="C121" s="496"/>
      <c r="D121" s="521"/>
      <c r="E121" s="521"/>
      <c r="F121" s="535"/>
      <c r="G121" s="507"/>
      <c r="H121" s="511"/>
      <c r="I121" s="192" t="s">
        <v>0</v>
      </c>
      <c r="J121" s="71">
        <v>10000</v>
      </c>
      <c r="K121" s="179" t="s">
        <v>148</v>
      </c>
      <c r="L121" s="72" t="s">
        <v>123</v>
      </c>
      <c r="M121" s="383">
        <v>10</v>
      </c>
      <c r="N121" s="383" t="s">
        <v>126</v>
      </c>
      <c r="O121" s="73" t="s">
        <v>138</v>
      </c>
      <c r="P121" s="71">
        <f>SUM(J121*M121)</f>
        <v>100000</v>
      </c>
      <c r="Q121" s="74" t="s">
        <v>148</v>
      </c>
    </row>
    <row r="122" spans="1:17" ht="15.95" customHeight="1">
      <c r="A122" s="165"/>
      <c r="B122" s="226"/>
      <c r="C122" s="560" t="s">
        <v>71</v>
      </c>
      <c r="D122" s="520">
        <v>28089</v>
      </c>
      <c r="E122" s="520">
        <f>P122/1000</f>
        <v>28089</v>
      </c>
      <c r="F122" s="371"/>
      <c r="G122" s="506">
        <f>E122-D122</f>
        <v>0</v>
      </c>
      <c r="H122" s="509">
        <f>G122/D122*100</f>
        <v>0</v>
      </c>
      <c r="I122" s="297"/>
      <c r="J122" s="305"/>
      <c r="K122" s="299"/>
      <c r="L122" s="300"/>
      <c r="M122" s="574" t="s">
        <v>162</v>
      </c>
      <c r="N122" s="574"/>
      <c r="O122" s="574"/>
      <c r="P122" s="305">
        <f>SUM(P123:P127)</f>
        <v>28089000</v>
      </c>
      <c r="Q122" s="49" t="s">
        <v>148</v>
      </c>
    </row>
    <row r="123" spans="1:17" ht="15.95" customHeight="1">
      <c r="A123" s="165"/>
      <c r="B123" s="226"/>
      <c r="C123" s="561"/>
      <c r="D123" s="532"/>
      <c r="E123" s="532"/>
      <c r="F123" s="371"/>
      <c r="G123" s="508"/>
      <c r="H123" s="510"/>
      <c r="I123" s="297" t="s">
        <v>264</v>
      </c>
      <c r="J123" s="305">
        <v>1134286</v>
      </c>
      <c r="K123" s="299" t="s">
        <v>148</v>
      </c>
      <c r="L123" s="300" t="s">
        <v>123</v>
      </c>
      <c r="M123" s="384">
        <v>7</v>
      </c>
      <c r="N123" s="384" t="s">
        <v>151</v>
      </c>
      <c r="O123" s="301" t="s">
        <v>138</v>
      </c>
      <c r="P123" s="310">
        <v>7940000</v>
      </c>
      <c r="Q123" s="49" t="s">
        <v>148</v>
      </c>
    </row>
    <row r="124" spans="1:17" ht="15.95" customHeight="1">
      <c r="A124" s="165"/>
      <c r="B124" s="226"/>
      <c r="C124" s="561"/>
      <c r="D124" s="532"/>
      <c r="E124" s="532"/>
      <c r="F124" s="371"/>
      <c r="G124" s="508"/>
      <c r="H124" s="510"/>
      <c r="I124" s="297" t="s">
        <v>311</v>
      </c>
      <c r="J124" s="305">
        <v>972714</v>
      </c>
      <c r="K124" s="299" t="s">
        <v>148</v>
      </c>
      <c r="L124" s="300" t="s">
        <v>123</v>
      </c>
      <c r="M124" s="384">
        <v>7</v>
      </c>
      <c r="N124" s="384" t="s">
        <v>151</v>
      </c>
      <c r="O124" s="301" t="s">
        <v>138</v>
      </c>
      <c r="P124" s="305">
        <v>6809000</v>
      </c>
      <c r="Q124" s="49" t="s">
        <v>148</v>
      </c>
    </row>
    <row r="125" spans="1:17" ht="15.95" customHeight="1">
      <c r="A125" s="165"/>
      <c r="B125" s="226"/>
      <c r="C125" s="561"/>
      <c r="D125" s="532"/>
      <c r="E125" s="532"/>
      <c r="F125" s="371"/>
      <c r="G125" s="508"/>
      <c r="H125" s="510"/>
      <c r="I125" s="297" t="s">
        <v>340</v>
      </c>
      <c r="J125" s="305">
        <v>614286</v>
      </c>
      <c r="K125" s="299" t="s">
        <v>148</v>
      </c>
      <c r="L125" s="300" t="s">
        <v>123</v>
      </c>
      <c r="M125" s="384">
        <v>7</v>
      </c>
      <c r="N125" s="384" t="s">
        <v>151</v>
      </c>
      <c r="O125" s="301" t="s">
        <v>138</v>
      </c>
      <c r="P125" s="305">
        <v>4300000</v>
      </c>
      <c r="Q125" s="49" t="s">
        <v>148</v>
      </c>
    </row>
    <row r="126" spans="1:17" ht="15.95" customHeight="1">
      <c r="A126" s="165"/>
      <c r="B126" s="226"/>
      <c r="C126" s="561"/>
      <c r="D126" s="532"/>
      <c r="E126" s="532"/>
      <c r="F126" s="371"/>
      <c r="G126" s="508"/>
      <c r="H126" s="510"/>
      <c r="I126" s="297" t="s">
        <v>284</v>
      </c>
      <c r="J126" s="305">
        <v>2600000</v>
      </c>
      <c r="K126" s="299" t="s">
        <v>148</v>
      </c>
      <c r="L126" s="300" t="s">
        <v>123</v>
      </c>
      <c r="M126" s="384">
        <v>1</v>
      </c>
      <c r="N126" s="384" t="s">
        <v>126</v>
      </c>
      <c r="O126" s="301" t="s">
        <v>138</v>
      </c>
      <c r="P126" s="305">
        <v>2600000</v>
      </c>
      <c r="Q126" s="49" t="s">
        <v>148</v>
      </c>
    </row>
    <row r="127" spans="1:17" ht="15.95" customHeight="1">
      <c r="A127" s="165"/>
      <c r="B127" s="226"/>
      <c r="C127" s="562"/>
      <c r="D127" s="521"/>
      <c r="E127" s="521"/>
      <c r="F127" s="371"/>
      <c r="G127" s="507"/>
      <c r="H127" s="511"/>
      <c r="I127" s="297" t="s">
        <v>103</v>
      </c>
      <c r="J127" s="305">
        <v>920000</v>
      </c>
      <c r="K127" s="299" t="s">
        <v>148</v>
      </c>
      <c r="L127" s="300" t="s">
        <v>123</v>
      </c>
      <c r="M127" s="384">
        <v>7</v>
      </c>
      <c r="N127" s="384" t="s">
        <v>151</v>
      </c>
      <c r="O127" s="301" t="s">
        <v>138</v>
      </c>
      <c r="P127" s="305">
        <v>6440000</v>
      </c>
      <c r="Q127" s="49" t="s">
        <v>148</v>
      </c>
    </row>
    <row r="128" spans="1:17" ht="15.95" customHeight="1">
      <c r="A128" s="165"/>
      <c r="B128" s="226"/>
      <c r="C128" s="555" t="s">
        <v>59</v>
      </c>
      <c r="D128" s="523">
        <v>34500</v>
      </c>
      <c r="E128" s="523">
        <f>+P128/1000</f>
        <v>34500</v>
      </c>
      <c r="F128" s="522">
        <v>0</v>
      </c>
      <c r="G128" s="530">
        <f>+E128-D128</f>
        <v>0</v>
      </c>
      <c r="H128" s="500">
        <f>+G128/D128*100</f>
        <v>0</v>
      </c>
      <c r="I128" s="175"/>
      <c r="J128" s="54"/>
      <c r="K128" s="89"/>
      <c r="L128" s="53"/>
      <c r="M128" s="425" t="s">
        <v>162</v>
      </c>
      <c r="N128" s="425"/>
      <c r="O128" s="425"/>
      <c r="P128" s="54">
        <f>SUM(P129:P129)</f>
        <v>34500000</v>
      </c>
      <c r="Q128" s="38" t="s">
        <v>148</v>
      </c>
    </row>
    <row r="129" spans="1:17" ht="15.95" customHeight="1">
      <c r="A129" s="165"/>
      <c r="B129" s="226"/>
      <c r="C129" s="556"/>
      <c r="D129" s="523"/>
      <c r="E129" s="523"/>
      <c r="F129" s="522"/>
      <c r="G129" s="530"/>
      <c r="H129" s="502"/>
      <c r="I129" s="178" t="s">
        <v>77</v>
      </c>
      <c r="J129" s="71">
        <v>1916667</v>
      </c>
      <c r="K129" s="179" t="s">
        <v>148</v>
      </c>
      <c r="L129" s="72" t="s">
        <v>123</v>
      </c>
      <c r="M129" s="383">
        <v>18</v>
      </c>
      <c r="N129" s="383" t="s">
        <v>126</v>
      </c>
      <c r="O129" s="73" t="s">
        <v>138</v>
      </c>
      <c r="P129" s="71">
        <v>34500000</v>
      </c>
      <c r="Q129" s="74" t="s">
        <v>148</v>
      </c>
    </row>
    <row r="130" spans="1:17" ht="15.95" customHeight="1">
      <c r="A130" s="227"/>
      <c r="B130" s="218"/>
      <c r="C130" s="563" t="s">
        <v>66</v>
      </c>
      <c r="D130" s="520">
        <v>100000</v>
      </c>
      <c r="E130" s="520">
        <f>P130/1000</f>
        <v>100000</v>
      </c>
      <c r="F130" s="229"/>
      <c r="G130" s="594">
        <f>E130-D130</f>
        <v>0</v>
      </c>
      <c r="H130" s="509">
        <f>+G130/D130*100</f>
        <v>0</v>
      </c>
      <c r="I130" s="230"/>
      <c r="J130" s="89"/>
      <c r="K130" s="89"/>
      <c r="L130" s="89"/>
      <c r="M130" s="425" t="s">
        <v>162</v>
      </c>
      <c r="N130" s="425"/>
      <c r="O130" s="425"/>
      <c r="P130" s="37">
        <f>SUM(P131:P131)</f>
        <v>100000000</v>
      </c>
      <c r="Q130" s="38" t="s">
        <v>148</v>
      </c>
    </row>
    <row r="131" spans="1:17" ht="15.95" customHeight="1">
      <c r="A131" s="217"/>
      <c r="B131" s="218"/>
      <c r="C131" s="565"/>
      <c r="D131" s="532"/>
      <c r="E131" s="532"/>
      <c r="F131" s="231"/>
      <c r="G131" s="595"/>
      <c r="H131" s="510"/>
      <c r="I131" s="184" t="s">
        <v>410</v>
      </c>
      <c r="J131" s="305">
        <v>4000000</v>
      </c>
      <c r="K131" s="299" t="s">
        <v>148</v>
      </c>
      <c r="L131" s="300" t="s">
        <v>123</v>
      </c>
      <c r="M131" s="384">
        <v>25</v>
      </c>
      <c r="N131" s="384" t="s">
        <v>126</v>
      </c>
      <c r="O131" s="301" t="s">
        <v>138</v>
      </c>
      <c r="P131" s="305">
        <f>SUM(J131*M131)</f>
        <v>100000000</v>
      </c>
      <c r="Q131" s="49" t="s">
        <v>148</v>
      </c>
    </row>
    <row r="132" spans="1:17" ht="15.95" customHeight="1">
      <c r="A132" s="165"/>
      <c r="B132" s="226"/>
      <c r="C132" s="560" t="s">
        <v>24</v>
      </c>
      <c r="D132" s="520">
        <v>25000</v>
      </c>
      <c r="E132" s="520">
        <f>P132/1000</f>
        <v>25000</v>
      </c>
      <c r="F132" s="533">
        <v>-1</v>
      </c>
      <c r="G132" s="506">
        <f>+E132-D132</f>
        <v>0</v>
      </c>
      <c r="H132" s="509">
        <f>+G132/D132*100</f>
        <v>0</v>
      </c>
      <c r="I132" s="182"/>
      <c r="J132" s="54"/>
      <c r="K132" s="89"/>
      <c r="L132" s="53"/>
      <c r="M132" s="425" t="s">
        <v>162</v>
      </c>
      <c r="N132" s="425"/>
      <c r="O132" s="425"/>
      <c r="P132" s="54">
        <f>SUM(P133:P133)</f>
        <v>25000000</v>
      </c>
      <c r="Q132" s="38" t="s">
        <v>148</v>
      </c>
    </row>
    <row r="133" spans="1:17" ht="15.95" customHeight="1">
      <c r="A133" s="165"/>
      <c r="B133" s="226"/>
      <c r="C133" s="495"/>
      <c r="D133" s="532"/>
      <c r="E133" s="532"/>
      <c r="F133" s="534"/>
      <c r="G133" s="508"/>
      <c r="H133" s="510"/>
      <c r="I133" s="297" t="s">
        <v>26</v>
      </c>
      <c r="J133" s="305">
        <v>5000000</v>
      </c>
      <c r="K133" s="299" t="s">
        <v>148</v>
      </c>
      <c r="L133" s="300" t="s">
        <v>123</v>
      </c>
      <c r="M133" s="384">
        <v>5</v>
      </c>
      <c r="N133" s="384" t="s">
        <v>126</v>
      </c>
      <c r="O133" s="301" t="s">
        <v>138</v>
      </c>
      <c r="P133" s="305">
        <f>J133*M133</f>
        <v>25000000</v>
      </c>
      <c r="Q133" s="49" t="s">
        <v>148</v>
      </c>
    </row>
    <row r="134" spans="1:17" ht="15.95" customHeight="1">
      <c r="A134" s="165"/>
      <c r="B134" s="336"/>
      <c r="C134" s="494" t="s">
        <v>193</v>
      </c>
      <c r="D134" s="520">
        <v>747300</v>
      </c>
      <c r="E134" s="520">
        <f>(P134/1000)</f>
        <v>720000</v>
      </c>
      <c r="F134" s="370">
        <v>83961</v>
      </c>
      <c r="G134" s="506">
        <f>E134-D134</f>
        <v>-27300</v>
      </c>
      <c r="H134" s="509">
        <f>G134/D134*100</f>
        <v>-3.6531513448414294</v>
      </c>
      <c r="I134" s="198"/>
      <c r="J134" s="54"/>
      <c r="K134" s="89"/>
      <c r="L134" s="53"/>
      <c r="M134" s="425" t="s">
        <v>162</v>
      </c>
      <c r="N134" s="425"/>
      <c r="O134" s="425"/>
      <c r="P134" s="54">
        <f>SUM(P135:P136)</f>
        <v>720000000</v>
      </c>
      <c r="Q134" s="38" t="s">
        <v>148</v>
      </c>
    </row>
    <row r="135" spans="1:17" ht="15.95" customHeight="1">
      <c r="A135" s="165"/>
      <c r="B135" s="336"/>
      <c r="C135" s="495"/>
      <c r="D135" s="532"/>
      <c r="E135" s="532"/>
      <c r="F135" s="372"/>
      <c r="G135" s="508"/>
      <c r="H135" s="510"/>
      <c r="I135" s="387" t="s">
        <v>107</v>
      </c>
      <c r="J135" s="305">
        <v>0</v>
      </c>
      <c r="K135" s="299" t="s">
        <v>148</v>
      </c>
      <c r="L135" s="300" t="s">
        <v>123</v>
      </c>
      <c r="M135" s="384">
        <v>1</v>
      </c>
      <c r="N135" s="384" t="s">
        <v>126</v>
      </c>
      <c r="O135" s="301" t="s">
        <v>140</v>
      </c>
      <c r="P135" s="305">
        <f>J135*M135</f>
        <v>0</v>
      </c>
      <c r="Q135" s="49" t="s">
        <v>148</v>
      </c>
    </row>
    <row r="136" spans="1:17" ht="15.95" customHeight="1">
      <c r="A136" s="232"/>
      <c r="B136" s="337"/>
      <c r="C136" s="496"/>
      <c r="D136" s="521"/>
      <c r="E136" s="521"/>
      <c r="F136" s="372"/>
      <c r="G136" s="507"/>
      <c r="H136" s="511"/>
      <c r="I136" s="233" t="s">
        <v>115</v>
      </c>
      <c r="J136" s="71">
        <v>60000000</v>
      </c>
      <c r="K136" s="179" t="s">
        <v>148</v>
      </c>
      <c r="L136" s="72" t="s">
        <v>123</v>
      </c>
      <c r="M136" s="383">
        <v>12</v>
      </c>
      <c r="N136" s="383" t="s">
        <v>126</v>
      </c>
      <c r="O136" s="73" t="s">
        <v>140</v>
      </c>
      <c r="P136" s="71">
        <f>J136*M136</f>
        <v>720000000</v>
      </c>
      <c r="Q136" s="74" t="s">
        <v>148</v>
      </c>
    </row>
    <row r="137" spans="1:17" ht="20.100000000000001" customHeight="1">
      <c r="A137" s="227" t="s">
        <v>462</v>
      </c>
      <c r="B137" s="224" t="s">
        <v>279</v>
      </c>
      <c r="C137" s="335" t="s">
        <v>169</v>
      </c>
      <c r="D137" s="362">
        <f>SUM(D138:D152)</f>
        <v>143575</v>
      </c>
      <c r="E137" s="374">
        <f>P137/1000</f>
        <v>135534.9</v>
      </c>
      <c r="F137" s="365">
        <f>SUM(F146:F151)</f>
        <v>4163</v>
      </c>
      <c r="G137" s="362">
        <f>+E137-D137</f>
        <v>-8040.1000000000058</v>
      </c>
      <c r="H137" s="349">
        <f>G137/D137*100</f>
        <v>-5.5999303499912978</v>
      </c>
      <c r="I137" s="234"/>
      <c r="J137" s="121"/>
      <c r="K137" s="62"/>
      <c r="L137" s="122"/>
      <c r="M137" s="339"/>
      <c r="N137" s="339"/>
      <c r="O137" s="123"/>
      <c r="P137" s="121">
        <f>SUM(P138,P140,P143,P146)</f>
        <v>135534900</v>
      </c>
      <c r="Q137" s="86" t="s">
        <v>148</v>
      </c>
    </row>
    <row r="138" spans="1:17" ht="15.95" customHeight="1">
      <c r="A138" s="227"/>
      <c r="B138" s="218" t="s">
        <v>290</v>
      </c>
      <c r="C138" s="555" t="s">
        <v>105</v>
      </c>
      <c r="D138" s="530">
        <v>12000</v>
      </c>
      <c r="E138" s="523">
        <f>P138/1000</f>
        <v>12000</v>
      </c>
      <c r="F138" s="522">
        <v>-1</v>
      </c>
      <c r="G138" s="530">
        <f>+E138-D138</f>
        <v>0</v>
      </c>
      <c r="H138" s="531">
        <v>0</v>
      </c>
      <c r="I138" s="182"/>
      <c r="J138" s="54"/>
      <c r="K138" s="89"/>
      <c r="L138" s="53"/>
      <c r="M138" s="425" t="s">
        <v>162</v>
      </c>
      <c r="N138" s="425"/>
      <c r="O138" s="425"/>
      <c r="P138" s="54">
        <f>SUM(P139:P139)</f>
        <v>12000000</v>
      </c>
      <c r="Q138" s="38" t="s">
        <v>148</v>
      </c>
    </row>
    <row r="139" spans="1:17" ht="15.95" customHeight="1">
      <c r="A139" s="227"/>
      <c r="B139" s="218"/>
      <c r="C139" s="556"/>
      <c r="D139" s="530"/>
      <c r="E139" s="523"/>
      <c r="F139" s="522"/>
      <c r="G139" s="530"/>
      <c r="H139" s="531"/>
      <c r="I139" s="309" t="s">
        <v>186</v>
      </c>
      <c r="J139" s="305">
        <v>1200000</v>
      </c>
      <c r="K139" s="299" t="s">
        <v>148</v>
      </c>
      <c r="L139" s="300" t="s">
        <v>123</v>
      </c>
      <c r="M139" s="384">
        <v>10</v>
      </c>
      <c r="N139" s="384" t="s">
        <v>126</v>
      </c>
      <c r="O139" s="301" t="s">
        <v>138</v>
      </c>
      <c r="P139" s="305">
        <f>J139*M139</f>
        <v>12000000</v>
      </c>
      <c r="Q139" s="49" t="s">
        <v>148</v>
      </c>
    </row>
    <row r="140" spans="1:17" ht="15.95" customHeight="1">
      <c r="A140" s="227"/>
      <c r="B140" s="218"/>
      <c r="C140" s="494" t="s">
        <v>96</v>
      </c>
      <c r="D140" s="506">
        <v>110000</v>
      </c>
      <c r="E140" s="520">
        <f>P140/1000</f>
        <v>110000</v>
      </c>
      <c r="F140" s="365"/>
      <c r="G140" s="506">
        <f>+E140-D140</f>
        <v>0</v>
      </c>
      <c r="H140" s="509">
        <f>G140/D140*100</f>
        <v>0</v>
      </c>
      <c r="I140" s="182"/>
      <c r="J140" s="54"/>
      <c r="K140" s="89"/>
      <c r="L140" s="53"/>
      <c r="M140" s="425" t="s">
        <v>162</v>
      </c>
      <c r="N140" s="425"/>
      <c r="O140" s="425"/>
      <c r="P140" s="54">
        <f>SUM(P141:P142)</f>
        <v>110000000</v>
      </c>
      <c r="Q140" s="38" t="s">
        <v>148</v>
      </c>
    </row>
    <row r="141" spans="1:17" ht="15.95" customHeight="1">
      <c r="A141" s="227"/>
      <c r="B141" s="218"/>
      <c r="C141" s="495"/>
      <c r="D141" s="508"/>
      <c r="E141" s="532"/>
      <c r="F141" s="365"/>
      <c r="G141" s="508"/>
      <c r="H141" s="510"/>
      <c r="I141" s="297" t="s">
        <v>96</v>
      </c>
      <c r="J141" s="305">
        <v>5000000</v>
      </c>
      <c r="K141" s="299" t="s">
        <v>148</v>
      </c>
      <c r="L141" s="300" t="s">
        <v>123</v>
      </c>
      <c r="M141" s="384">
        <v>12</v>
      </c>
      <c r="N141" s="384" t="s">
        <v>131</v>
      </c>
      <c r="O141" s="301" t="s">
        <v>138</v>
      </c>
      <c r="P141" s="305">
        <f>J141*M141</f>
        <v>60000000</v>
      </c>
      <c r="Q141" s="49" t="s">
        <v>148</v>
      </c>
    </row>
    <row r="142" spans="1:17" ht="15.95" customHeight="1">
      <c r="A142" s="227"/>
      <c r="B142" s="218"/>
      <c r="C142" s="496"/>
      <c r="D142" s="507"/>
      <c r="E142" s="521"/>
      <c r="F142" s="365"/>
      <c r="G142" s="507"/>
      <c r="H142" s="511"/>
      <c r="I142" s="297" t="s">
        <v>416</v>
      </c>
      <c r="J142" s="305">
        <v>5000000</v>
      </c>
      <c r="K142" s="299" t="s">
        <v>148</v>
      </c>
      <c r="L142" s="300" t="s">
        <v>123</v>
      </c>
      <c r="M142" s="384">
        <v>10</v>
      </c>
      <c r="N142" s="384" t="s">
        <v>417</v>
      </c>
      <c r="O142" s="301" t="s">
        <v>138</v>
      </c>
      <c r="P142" s="305">
        <f>J142*M142</f>
        <v>50000000</v>
      </c>
      <c r="Q142" s="49" t="s">
        <v>148</v>
      </c>
    </row>
    <row r="143" spans="1:17" ht="15.95" customHeight="1">
      <c r="A143" s="227"/>
      <c r="B143" s="218"/>
      <c r="C143" s="555" t="s">
        <v>106</v>
      </c>
      <c r="D143" s="530">
        <v>12130</v>
      </c>
      <c r="E143" s="523">
        <f>P143/1000</f>
        <v>4089.9</v>
      </c>
      <c r="F143" s="365"/>
      <c r="G143" s="530">
        <f>E143-D143</f>
        <v>-8040.1</v>
      </c>
      <c r="H143" s="531">
        <f>G143/D143*100</f>
        <v>-66.282769991755984</v>
      </c>
      <c r="I143" s="182"/>
      <c r="J143" s="54"/>
      <c r="K143" s="89"/>
      <c r="L143" s="53"/>
      <c r="M143" s="425" t="s">
        <v>162</v>
      </c>
      <c r="N143" s="425"/>
      <c r="O143" s="425"/>
      <c r="P143" s="54">
        <f>SUM(P144:P145)</f>
        <v>4089900</v>
      </c>
      <c r="Q143" s="38" t="s">
        <v>148</v>
      </c>
    </row>
    <row r="144" spans="1:17" ht="15.95" customHeight="1">
      <c r="A144" s="227"/>
      <c r="B144" s="218"/>
      <c r="C144" s="555"/>
      <c r="D144" s="530"/>
      <c r="E144" s="523"/>
      <c r="F144" s="365"/>
      <c r="G144" s="530"/>
      <c r="H144" s="531"/>
      <c r="I144" s="302" t="s">
        <v>443</v>
      </c>
      <c r="J144" s="305">
        <v>2289900</v>
      </c>
      <c r="K144" s="299" t="s">
        <v>148</v>
      </c>
      <c r="L144" s="300" t="s">
        <v>123</v>
      </c>
      <c r="M144" s="384">
        <v>1</v>
      </c>
      <c r="N144" s="384" t="s">
        <v>126</v>
      </c>
      <c r="O144" s="384"/>
      <c r="P144" s="305">
        <f>SUM(J144*M144)</f>
        <v>2289900</v>
      </c>
      <c r="Q144" s="49" t="s">
        <v>148</v>
      </c>
    </row>
    <row r="145" spans="1:17" ht="15.95" customHeight="1">
      <c r="A145" s="227"/>
      <c r="B145" s="218"/>
      <c r="C145" s="555"/>
      <c r="D145" s="530"/>
      <c r="E145" s="523"/>
      <c r="F145" s="365"/>
      <c r="G145" s="530"/>
      <c r="H145" s="531"/>
      <c r="I145" s="297" t="s">
        <v>102</v>
      </c>
      <c r="J145" s="71">
        <v>200000</v>
      </c>
      <c r="K145" s="179" t="s">
        <v>148</v>
      </c>
      <c r="L145" s="72" t="s">
        <v>123</v>
      </c>
      <c r="M145" s="383">
        <v>9</v>
      </c>
      <c r="N145" s="383" t="s">
        <v>126</v>
      </c>
      <c r="O145" s="383"/>
      <c r="P145" s="71">
        <f>SUM(J145*M145)</f>
        <v>1800000</v>
      </c>
      <c r="Q145" s="74" t="s">
        <v>148</v>
      </c>
    </row>
    <row r="146" spans="1:17" ht="15.95" customHeight="1">
      <c r="A146" s="165"/>
      <c r="B146" s="218"/>
      <c r="C146" s="560" t="s">
        <v>294</v>
      </c>
      <c r="D146" s="506">
        <v>9445</v>
      </c>
      <c r="E146" s="520">
        <f>+P146/1000</f>
        <v>9445</v>
      </c>
      <c r="F146" s="533">
        <v>4163</v>
      </c>
      <c r="G146" s="506">
        <f>+E146-D146</f>
        <v>0</v>
      </c>
      <c r="H146" s="509">
        <f>G146/D146*100</f>
        <v>0</v>
      </c>
      <c r="I146" s="42"/>
      <c r="J146" s="54"/>
      <c r="K146" s="89"/>
      <c r="L146" s="53"/>
      <c r="M146" s="425" t="s">
        <v>162</v>
      </c>
      <c r="N146" s="425"/>
      <c r="O146" s="425"/>
      <c r="P146" s="54">
        <f>SUM(P147,P152)</f>
        <v>9445000</v>
      </c>
      <c r="Q146" s="38" t="s">
        <v>148</v>
      </c>
    </row>
    <row r="147" spans="1:17" ht="15.95" customHeight="1">
      <c r="A147" s="165"/>
      <c r="B147" s="344"/>
      <c r="C147" s="561"/>
      <c r="D147" s="508"/>
      <c r="E147" s="532"/>
      <c r="F147" s="534"/>
      <c r="G147" s="508"/>
      <c r="H147" s="510"/>
      <c r="I147" s="235" t="s">
        <v>256</v>
      </c>
      <c r="J147" s="311"/>
      <c r="K147" s="312"/>
      <c r="L147" s="313"/>
      <c r="M147" s="314"/>
      <c r="N147" s="314"/>
      <c r="O147" s="315"/>
      <c r="P147" s="305">
        <f>SUM(P148:P151)</f>
        <v>9245000</v>
      </c>
      <c r="Q147" s="49" t="s">
        <v>148</v>
      </c>
    </row>
    <row r="148" spans="1:17" ht="15.95" customHeight="1">
      <c r="A148" s="165"/>
      <c r="B148" s="336"/>
      <c r="C148" s="561"/>
      <c r="D148" s="508"/>
      <c r="E148" s="532"/>
      <c r="F148" s="534"/>
      <c r="G148" s="508"/>
      <c r="H148" s="510"/>
      <c r="I148" s="51" t="s">
        <v>9</v>
      </c>
      <c r="J148" s="305">
        <v>600000</v>
      </c>
      <c r="K148" s="299" t="s">
        <v>148</v>
      </c>
      <c r="L148" s="300" t="s">
        <v>123</v>
      </c>
      <c r="M148" s="384">
        <v>1</v>
      </c>
      <c r="N148" s="384" t="s">
        <v>126</v>
      </c>
      <c r="O148" s="301" t="s">
        <v>138</v>
      </c>
      <c r="P148" s="305">
        <f>SUM(J148*M148)</f>
        <v>600000</v>
      </c>
      <c r="Q148" s="49" t="s">
        <v>148</v>
      </c>
    </row>
    <row r="149" spans="1:17" ht="15.95" customHeight="1">
      <c r="A149" s="165"/>
      <c r="B149" s="336"/>
      <c r="C149" s="561"/>
      <c r="D149" s="508"/>
      <c r="E149" s="532"/>
      <c r="F149" s="534"/>
      <c r="G149" s="508"/>
      <c r="H149" s="510"/>
      <c r="I149" s="51" t="s">
        <v>2</v>
      </c>
      <c r="J149" s="305">
        <v>7095000</v>
      </c>
      <c r="K149" s="299" t="s">
        <v>148</v>
      </c>
      <c r="L149" s="300" t="s">
        <v>123</v>
      </c>
      <c r="M149" s="384">
        <v>1</v>
      </c>
      <c r="N149" s="384" t="s">
        <v>126</v>
      </c>
      <c r="O149" s="301" t="s">
        <v>138</v>
      </c>
      <c r="P149" s="305">
        <f>SUM(J149*M149)</f>
        <v>7095000</v>
      </c>
      <c r="Q149" s="49" t="s">
        <v>148</v>
      </c>
    </row>
    <row r="150" spans="1:17" ht="15.95" customHeight="1">
      <c r="A150" s="217"/>
      <c r="B150" s="228"/>
      <c r="C150" s="561"/>
      <c r="D150" s="508"/>
      <c r="E150" s="532"/>
      <c r="F150" s="534"/>
      <c r="G150" s="508"/>
      <c r="H150" s="510"/>
      <c r="I150" s="180" t="s">
        <v>383</v>
      </c>
      <c r="J150" s="305">
        <v>400000</v>
      </c>
      <c r="K150" s="299" t="s">
        <v>148</v>
      </c>
      <c r="L150" s="300" t="s">
        <v>123</v>
      </c>
      <c r="M150" s="384">
        <v>1</v>
      </c>
      <c r="N150" s="384" t="s">
        <v>126</v>
      </c>
      <c r="O150" s="301"/>
      <c r="P150" s="305">
        <f>SUM(J150*M150)</f>
        <v>400000</v>
      </c>
      <c r="Q150" s="49" t="s">
        <v>148</v>
      </c>
    </row>
    <row r="151" spans="1:17" ht="15.95" customHeight="1">
      <c r="A151" s="165"/>
      <c r="B151" s="336"/>
      <c r="C151" s="561"/>
      <c r="D151" s="508"/>
      <c r="E151" s="532"/>
      <c r="F151" s="534"/>
      <c r="G151" s="508"/>
      <c r="H151" s="510"/>
      <c r="I151" s="338" t="s">
        <v>67</v>
      </c>
      <c r="J151" s="305">
        <v>230000</v>
      </c>
      <c r="K151" s="299" t="s">
        <v>148</v>
      </c>
      <c r="L151" s="300" t="s">
        <v>123</v>
      </c>
      <c r="M151" s="384">
        <v>5</v>
      </c>
      <c r="N151" s="384" t="s">
        <v>126</v>
      </c>
      <c r="O151" s="384"/>
      <c r="P151" s="305">
        <f>SUM(J151*M151)</f>
        <v>1150000</v>
      </c>
      <c r="Q151" s="49" t="s">
        <v>148</v>
      </c>
    </row>
    <row r="152" spans="1:17" ht="15.95" customHeight="1">
      <c r="A152" s="165"/>
      <c r="B152" s="336"/>
      <c r="C152" s="561"/>
      <c r="D152" s="508"/>
      <c r="E152" s="532"/>
      <c r="F152" s="371"/>
      <c r="G152" s="508"/>
      <c r="H152" s="510"/>
      <c r="I152" s="388" t="s">
        <v>108</v>
      </c>
      <c r="J152" s="305">
        <v>100000</v>
      </c>
      <c r="K152" s="299" t="s">
        <v>148</v>
      </c>
      <c r="L152" s="300" t="s">
        <v>123</v>
      </c>
      <c r="M152" s="384">
        <v>2</v>
      </c>
      <c r="N152" s="384" t="s">
        <v>126</v>
      </c>
      <c r="O152" s="384"/>
      <c r="P152" s="305">
        <f>SUM(J152*M152)</f>
        <v>200000</v>
      </c>
      <c r="Q152" s="49" t="s">
        <v>148</v>
      </c>
    </row>
    <row r="153" spans="1:17" ht="20.100000000000001" customHeight="1">
      <c r="A153" s="232"/>
      <c r="B153" s="224" t="s">
        <v>279</v>
      </c>
      <c r="C153" s="379" t="s">
        <v>350</v>
      </c>
      <c r="D153" s="366">
        <f>SUM(D154:D158)</f>
        <v>265880</v>
      </c>
      <c r="E153" s="366">
        <f>SUM(E154:E158)</f>
        <v>175880</v>
      </c>
      <c r="F153" s="370"/>
      <c r="G153" s="367">
        <f>E153-D153</f>
        <v>-90000</v>
      </c>
      <c r="H153" s="368">
        <f>G153/D153*100</f>
        <v>-33.849857078381227</v>
      </c>
      <c r="I153" s="236"/>
      <c r="J153" s="124"/>
      <c r="K153" s="62"/>
      <c r="L153" s="122"/>
      <c r="M153" s="339"/>
      <c r="N153" s="339"/>
      <c r="O153" s="339"/>
      <c r="P153" s="124">
        <f>SUM(P154,P157)</f>
        <v>175880000</v>
      </c>
      <c r="Q153" s="49" t="s">
        <v>148</v>
      </c>
    </row>
    <row r="154" spans="1:17" ht="16.5" customHeight="1">
      <c r="A154" s="232"/>
      <c r="B154" s="218" t="s">
        <v>299</v>
      </c>
      <c r="C154" s="556" t="s">
        <v>258</v>
      </c>
      <c r="D154" s="523">
        <v>100880</v>
      </c>
      <c r="E154" s="523">
        <f>P154/1000</f>
        <v>10880</v>
      </c>
      <c r="F154" s="522">
        <v>80151</v>
      </c>
      <c r="G154" s="530">
        <f>+E154-D154</f>
        <v>-90000</v>
      </c>
      <c r="H154" s="578">
        <f>+G154/D154*100</f>
        <v>-89.214908802537678</v>
      </c>
      <c r="I154" s="42"/>
      <c r="J154" s="54"/>
      <c r="K154" s="89"/>
      <c r="L154" s="53"/>
      <c r="M154" s="425" t="s">
        <v>162</v>
      </c>
      <c r="N154" s="425"/>
      <c r="O154" s="425"/>
      <c r="P154" s="54">
        <f>SUM(P155:P156)</f>
        <v>10880000</v>
      </c>
      <c r="Q154" s="38" t="s">
        <v>148</v>
      </c>
    </row>
    <row r="155" spans="1:17" ht="16.5" customHeight="1">
      <c r="A155" s="165"/>
      <c r="B155" s="336"/>
      <c r="C155" s="556"/>
      <c r="D155" s="523"/>
      <c r="E155" s="523"/>
      <c r="F155" s="522"/>
      <c r="G155" s="530"/>
      <c r="H155" s="578"/>
      <c r="I155" s="316" t="s">
        <v>51</v>
      </c>
      <c r="J155" s="305">
        <v>880000</v>
      </c>
      <c r="K155" s="299" t="s">
        <v>148</v>
      </c>
      <c r="L155" s="300" t="s">
        <v>123</v>
      </c>
      <c r="M155" s="384">
        <v>1</v>
      </c>
      <c r="N155" s="384" t="s">
        <v>126</v>
      </c>
      <c r="O155" s="301" t="s">
        <v>138</v>
      </c>
      <c r="P155" s="305">
        <f>SUM(J155*M155)</f>
        <v>880000</v>
      </c>
      <c r="Q155" s="49" t="s">
        <v>148</v>
      </c>
    </row>
    <row r="156" spans="1:17" ht="16.5" customHeight="1">
      <c r="A156" s="165"/>
      <c r="B156" s="336"/>
      <c r="C156" s="556"/>
      <c r="D156" s="523"/>
      <c r="E156" s="523"/>
      <c r="F156" s="522"/>
      <c r="G156" s="530"/>
      <c r="H156" s="500"/>
      <c r="I156" s="389" t="s">
        <v>266</v>
      </c>
      <c r="J156" s="71">
        <v>5000000</v>
      </c>
      <c r="K156" s="179" t="s">
        <v>148</v>
      </c>
      <c r="L156" s="72" t="s">
        <v>123</v>
      </c>
      <c r="M156" s="383">
        <v>2</v>
      </c>
      <c r="N156" s="383" t="s">
        <v>444</v>
      </c>
      <c r="O156" s="73" t="s">
        <v>138</v>
      </c>
      <c r="P156" s="71">
        <f>SUM(J156*M156)</f>
        <v>10000000</v>
      </c>
      <c r="Q156" s="74" t="s">
        <v>148</v>
      </c>
    </row>
    <row r="157" spans="1:17" ht="15.95" customHeight="1">
      <c r="A157" s="217"/>
      <c r="B157" s="344"/>
      <c r="C157" s="563" t="s">
        <v>49</v>
      </c>
      <c r="D157" s="523">
        <v>165000</v>
      </c>
      <c r="E157" s="523">
        <f>+P157/1000</f>
        <v>165000</v>
      </c>
      <c r="F157" s="365"/>
      <c r="G157" s="512">
        <f>+E157-D157</f>
        <v>0</v>
      </c>
      <c r="H157" s="500">
        <f>+G157/D157*100</f>
        <v>0</v>
      </c>
      <c r="I157" s="182"/>
      <c r="J157" s="54"/>
      <c r="K157" s="89"/>
      <c r="L157" s="53"/>
      <c r="M157" s="425" t="s">
        <v>162</v>
      </c>
      <c r="N157" s="425"/>
      <c r="O157" s="425"/>
      <c r="P157" s="54">
        <f>SUM(P158:P158)</f>
        <v>165000000</v>
      </c>
      <c r="Q157" s="38" t="s">
        <v>148</v>
      </c>
    </row>
    <row r="158" spans="1:17" ht="15.95" customHeight="1">
      <c r="A158" s="227"/>
      <c r="B158" s="69"/>
      <c r="C158" s="564"/>
      <c r="D158" s="523"/>
      <c r="E158" s="523"/>
      <c r="F158" s="365"/>
      <c r="G158" s="512"/>
      <c r="H158" s="502"/>
      <c r="I158" s="192" t="s">
        <v>49</v>
      </c>
      <c r="J158" s="71">
        <v>16500000</v>
      </c>
      <c r="K158" s="179" t="s">
        <v>148</v>
      </c>
      <c r="L158" s="72" t="s">
        <v>123</v>
      </c>
      <c r="M158" s="383">
        <v>10</v>
      </c>
      <c r="N158" s="383" t="s">
        <v>126</v>
      </c>
      <c r="O158" s="73" t="s">
        <v>138</v>
      </c>
      <c r="P158" s="71">
        <f>J158*M158</f>
        <v>165000000</v>
      </c>
      <c r="Q158" s="74" t="s">
        <v>148</v>
      </c>
    </row>
    <row r="159" spans="1:17" ht="20.100000000000001" customHeight="1">
      <c r="A159" s="237"/>
      <c r="B159" s="32" t="s">
        <v>348</v>
      </c>
      <c r="C159" s="378" t="s">
        <v>169</v>
      </c>
      <c r="D159" s="353">
        <f>+D160+D165</f>
        <v>20385</v>
      </c>
      <c r="E159" s="353">
        <f>SUM(E160:E166)</f>
        <v>20385</v>
      </c>
      <c r="F159" s="370" t="e">
        <f>+#REF!+F160+#REF!+#REF!+F165</f>
        <v>#REF!</v>
      </c>
      <c r="G159" s="346">
        <f>+E159-D159</f>
        <v>0</v>
      </c>
      <c r="H159" s="357">
        <f>+G159/D159*100</f>
        <v>0</v>
      </c>
      <c r="I159" s="182"/>
      <c r="J159" s="43"/>
      <c r="K159" s="89"/>
      <c r="L159" s="53"/>
      <c r="M159" s="332"/>
      <c r="N159" s="332"/>
      <c r="O159" s="125"/>
      <c r="P159" s="43">
        <f>SUM(P160,P165)</f>
        <v>20385000</v>
      </c>
      <c r="Q159" s="38" t="s">
        <v>148</v>
      </c>
    </row>
    <row r="160" spans="1:17" ht="15.95" customHeight="1">
      <c r="A160" s="165"/>
      <c r="B160" s="336"/>
      <c r="C160" s="560" t="s">
        <v>413</v>
      </c>
      <c r="D160" s="520">
        <v>19985</v>
      </c>
      <c r="E160" s="520">
        <f>P160/1000</f>
        <v>19985</v>
      </c>
      <c r="F160" s="533">
        <v>14521</v>
      </c>
      <c r="G160" s="506">
        <f>+E160-D160</f>
        <v>0</v>
      </c>
      <c r="H160" s="509">
        <f>+G160/D160*100</f>
        <v>0</v>
      </c>
      <c r="I160" s="182"/>
      <c r="J160" s="54"/>
      <c r="K160" s="89"/>
      <c r="L160" s="53"/>
      <c r="M160" s="425" t="s">
        <v>162</v>
      </c>
      <c r="N160" s="425"/>
      <c r="O160" s="425"/>
      <c r="P160" s="54">
        <f>SUM(P161:P164)</f>
        <v>19985000</v>
      </c>
      <c r="Q160" s="38" t="s">
        <v>148</v>
      </c>
    </row>
    <row r="161" spans="1:31" ht="15.95" customHeight="1">
      <c r="A161" s="165"/>
      <c r="B161" s="336"/>
      <c r="C161" s="561"/>
      <c r="D161" s="532"/>
      <c r="E161" s="532"/>
      <c r="F161" s="534"/>
      <c r="G161" s="508"/>
      <c r="H161" s="510"/>
      <c r="I161" s="302" t="s">
        <v>68</v>
      </c>
      <c r="J161" s="305">
        <v>3300000</v>
      </c>
      <c r="K161" s="299" t="s">
        <v>148</v>
      </c>
      <c r="L161" s="300" t="s">
        <v>123</v>
      </c>
      <c r="M161" s="384">
        <v>1</v>
      </c>
      <c r="N161" s="384" t="s">
        <v>126</v>
      </c>
      <c r="O161" s="301" t="s">
        <v>138</v>
      </c>
      <c r="P161" s="305">
        <f>J161*M161</f>
        <v>3300000</v>
      </c>
      <c r="Q161" s="49" t="s">
        <v>148</v>
      </c>
    </row>
    <row r="162" spans="1:31" ht="15.95" customHeight="1">
      <c r="A162" s="165"/>
      <c r="B162" s="336"/>
      <c r="C162" s="561"/>
      <c r="D162" s="532"/>
      <c r="E162" s="532"/>
      <c r="F162" s="534"/>
      <c r="G162" s="508"/>
      <c r="H162" s="510"/>
      <c r="I162" s="302" t="s">
        <v>414</v>
      </c>
      <c r="J162" s="305">
        <v>3850000</v>
      </c>
      <c r="K162" s="299" t="s">
        <v>148</v>
      </c>
      <c r="L162" s="300" t="s">
        <v>123</v>
      </c>
      <c r="M162" s="384">
        <v>1</v>
      </c>
      <c r="N162" s="384" t="s">
        <v>126</v>
      </c>
      <c r="O162" s="301" t="s">
        <v>138</v>
      </c>
      <c r="P162" s="305">
        <f>SUM(J162*M162)</f>
        <v>3850000</v>
      </c>
      <c r="Q162" s="49" t="s">
        <v>148</v>
      </c>
    </row>
    <row r="163" spans="1:31" ht="15.95" customHeight="1">
      <c r="A163" s="165"/>
      <c r="B163" s="336"/>
      <c r="C163" s="561"/>
      <c r="D163" s="532"/>
      <c r="E163" s="532"/>
      <c r="F163" s="534"/>
      <c r="G163" s="508"/>
      <c r="H163" s="510"/>
      <c r="I163" s="302" t="s">
        <v>415</v>
      </c>
      <c r="J163" s="305">
        <v>6800000</v>
      </c>
      <c r="K163" s="299" t="s">
        <v>148</v>
      </c>
      <c r="L163" s="300" t="s">
        <v>123</v>
      </c>
      <c r="M163" s="384">
        <v>1</v>
      </c>
      <c r="N163" s="384" t="s">
        <v>126</v>
      </c>
      <c r="O163" s="301" t="s">
        <v>138</v>
      </c>
      <c r="P163" s="305">
        <f>SUM(J163*M163)</f>
        <v>6800000</v>
      </c>
      <c r="Q163" s="49" t="s">
        <v>148</v>
      </c>
    </row>
    <row r="164" spans="1:31" ht="15.95" customHeight="1">
      <c r="A164" s="165"/>
      <c r="B164" s="336"/>
      <c r="C164" s="562"/>
      <c r="D164" s="521"/>
      <c r="E164" s="521"/>
      <c r="F164" s="372"/>
      <c r="G164" s="507"/>
      <c r="H164" s="511"/>
      <c r="I164" s="199" t="s">
        <v>282</v>
      </c>
      <c r="J164" s="71">
        <v>6035000</v>
      </c>
      <c r="K164" s="179" t="s">
        <v>148</v>
      </c>
      <c r="L164" s="72" t="s">
        <v>123</v>
      </c>
      <c r="M164" s="383">
        <v>1</v>
      </c>
      <c r="N164" s="383" t="s">
        <v>126</v>
      </c>
      <c r="O164" s="73" t="s">
        <v>138</v>
      </c>
      <c r="P164" s="71">
        <f>SUM(J164*M164)</f>
        <v>6035000</v>
      </c>
      <c r="Q164" s="74" t="s">
        <v>148</v>
      </c>
    </row>
    <row r="165" spans="1:31" ht="15.95" customHeight="1">
      <c r="A165" s="165"/>
      <c r="B165" s="336"/>
      <c r="C165" s="554" t="s">
        <v>232</v>
      </c>
      <c r="D165" s="520">
        <v>400</v>
      </c>
      <c r="E165" s="520">
        <f>+P165/1000</f>
        <v>400</v>
      </c>
      <c r="F165" s="533">
        <v>346</v>
      </c>
      <c r="G165" s="506">
        <f>+E165-D165</f>
        <v>0</v>
      </c>
      <c r="H165" s="500">
        <v>0</v>
      </c>
      <c r="I165" s="182"/>
      <c r="J165" s="54"/>
      <c r="K165" s="89"/>
      <c r="L165" s="53"/>
      <c r="M165" s="425" t="s">
        <v>162</v>
      </c>
      <c r="N165" s="425"/>
      <c r="O165" s="425"/>
      <c r="P165" s="54">
        <f>SUM(P166:P166)</f>
        <v>400000</v>
      </c>
      <c r="Q165" s="38" t="s">
        <v>148</v>
      </c>
    </row>
    <row r="166" spans="1:31" ht="19.5" customHeight="1">
      <c r="A166" s="165"/>
      <c r="B166" s="337"/>
      <c r="C166" s="542"/>
      <c r="D166" s="521"/>
      <c r="E166" s="521"/>
      <c r="F166" s="535"/>
      <c r="G166" s="507"/>
      <c r="H166" s="502"/>
      <c r="I166" s="192" t="s">
        <v>232</v>
      </c>
      <c r="J166" s="71">
        <v>200000</v>
      </c>
      <c r="K166" s="179" t="s">
        <v>148</v>
      </c>
      <c r="L166" s="72" t="s">
        <v>123</v>
      </c>
      <c r="M166" s="383">
        <v>2</v>
      </c>
      <c r="N166" s="383" t="s">
        <v>126</v>
      </c>
      <c r="O166" s="73" t="s">
        <v>138</v>
      </c>
      <c r="P166" s="71">
        <f>SUM(J166*M166)</f>
        <v>400000</v>
      </c>
      <c r="Q166" s="74" t="s">
        <v>148</v>
      </c>
    </row>
    <row r="167" spans="1:31" ht="20.100000000000001" customHeight="1">
      <c r="A167" s="237" t="s">
        <v>462</v>
      </c>
      <c r="B167" s="32" t="s">
        <v>269</v>
      </c>
      <c r="C167" s="378" t="s">
        <v>169</v>
      </c>
      <c r="D167" s="353">
        <f>SUM(D168)</f>
        <v>3500</v>
      </c>
      <c r="E167" s="353">
        <f>SUM(E168)</f>
        <v>3390</v>
      </c>
      <c r="F167" s="370">
        <f>SUM(F168:F175)</f>
        <v>16520</v>
      </c>
      <c r="G167" s="346">
        <f>+E167-D167</f>
        <v>-110</v>
      </c>
      <c r="H167" s="357">
        <f>+G167/D167*100</f>
        <v>-3.1428571428571432</v>
      </c>
      <c r="I167" s="234"/>
      <c r="J167" s="121"/>
      <c r="K167" s="62"/>
      <c r="L167" s="122"/>
      <c r="M167" s="339"/>
      <c r="N167" s="339"/>
      <c r="O167" s="123"/>
      <c r="P167" s="121">
        <f>SUM(P168)</f>
        <v>3390000</v>
      </c>
      <c r="Q167" s="86" t="s">
        <v>148</v>
      </c>
    </row>
    <row r="168" spans="1:31" ht="15.95" customHeight="1">
      <c r="A168" s="165"/>
      <c r="B168" s="336"/>
      <c r="C168" s="560" t="s">
        <v>74</v>
      </c>
      <c r="D168" s="520">
        <v>3500</v>
      </c>
      <c r="E168" s="520">
        <f>P168/1000</f>
        <v>3390</v>
      </c>
      <c r="F168" s="533">
        <v>2900</v>
      </c>
      <c r="G168" s="506">
        <f>+E168-D168</f>
        <v>-110</v>
      </c>
      <c r="H168" s="500">
        <f>+G168/D168*100</f>
        <v>-3.1428571428571432</v>
      </c>
      <c r="I168" s="182"/>
      <c r="J168" s="54"/>
      <c r="K168" s="89"/>
      <c r="L168" s="53"/>
      <c r="M168" s="425" t="s">
        <v>162</v>
      </c>
      <c r="N168" s="425"/>
      <c r="O168" s="425"/>
      <c r="P168" s="54">
        <f>SUM(P169:P170)</f>
        <v>3390000</v>
      </c>
      <c r="Q168" s="38" t="s">
        <v>148</v>
      </c>
    </row>
    <row r="169" spans="1:31" ht="15.95" customHeight="1">
      <c r="A169" s="165"/>
      <c r="B169" s="336"/>
      <c r="C169" s="561"/>
      <c r="D169" s="532"/>
      <c r="E169" s="532"/>
      <c r="F169" s="534"/>
      <c r="G169" s="508">
        <f>+E169-D169</f>
        <v>0</v>
      </c>
      <c r="H169" s="501" t="e">
        <f>+G169/D169*100</f>
        <v>#DIV/0!</v>
      </c>
      <c r="I169" s="297" t="s">
        <v>359</v>
      </c>
      <c r="J169" s="305">
        <v>3000000</v>
      </c>
      <c r="K169" s="299" t="s">
        <v>148</v>
      </c>
      <c r="L169" s="300" t="s">
        <v>123</v>
      </c>
      <c r="M169" s="384">
        <v>1</v>
      </c>
      <c r="N169" s="384" t="s">
        <v>126</v>
      </c>
      <c r="O169" s="301" t="s">
        <v>138</v>
      </c>
      <c r="P169" s="305">
        <f>SUM(J169*M169)</f>
        <v>3000000</v>
      </c>
      <c r="Q169" s="49" t="s">
        <v>148</v>
      </c>
    </row>
    <row r="170" spans="1:31" ht="15.95" customHeight="1">
      <c r="A170" s="165"/>
      <c r="B170" s="337"/>
      <c r="C170" s="562"/>
      <c r="D170" s="521"/>
      <c r="E170" s="521"/>
      <c r="F170" s="535"/>
      <c r="G170" s="507">
        <f>+E170-D170</f>
        <v>0</v>
      </c>
      <c r="H170" s="502" t="e">
        <f>+G170/D170*100</f>
        <v>#DIV/0!</v>
      </c>
      <c r="I170" s="192" t="s">
        <v>380</v>
      </c>
      <c r="J170" s="71">
        <v>390000</v>
      </c>
      <c r="K170" s="179" t="s">
        <v>148</v>
      </c>
      <c r="L170" s="72" t="s">
        <v>123</v>
      </c>
      <c r="M170" s="383">
        <v>1</v>
      </c>
      <c r="N170" s="383" t="s">
        <v>126</v>
      </c>
      <c r="O170" s="73" t="s">
        <v>138</v>
      </c>
      <c r="P170" s="71">
        <f>SUM(J170*M170)</f>
        <v>390000</v>
      </c>
      <c r="Q170" s="74" t="s">
        <v>148</v>
      </c>
    </row>
    <row r="171" spans="1:31" ht="20.100000000000001" customHeight="1">
      <c r="A171" s="227"/>
      <c r="B171" s="212" t="s">
        <v>300</v>
      </c>
      <c r="C171" s="378" t="s">
        <v>169</v>
      </c>
      <c r="D171" s="364">
        <f>SUM(D172:D175)</f>
        <v>17100</v>
      </c>
      <c r="E171" s="360">
        <f>P171/1000</f>
        <v>17100</v>
      </c>
      <c r="F171" s="370"/>
      <c r="G171" s="360">
        <f>E171-D171</f>
        <v>0</v>
      </c>
      <c r="H171" s="356">
        <f>G171/D171*100</f>
        <v>0</v>
      </c>
      <c r="I171" s="182"/>
      <c r="J171" s="54"/>
      <c r="K171" s="89"/>
      <c r="L171" s="53"/>
      <c r="M171" s="332"/>
      <c r="N171" s="332"/>
      <c r="O171" s="125"/>
      <c r="P171" s="54">
        <f>P172</f>
        <v>17100000</v>
      </c>
      <c r="Q171" s="38" t="s">
        <v>148</v>
      </c>
    </row>
    <row r="172" spans="1:31" ht="15.95" customHeight="1">
      <c r="A172" s="232"/>
      <c r="B172" s="238"/>
      <c r="C172" s="494" t="s">
        <v>194</v>
      </c>
      <c r="D172" s="520">
        <v>17100</v>
      </c>
      <c r="E172" s="520">
        <f>+P172/1000</f>
        <v>17100</v>
      </c>
      <c r="F172" s="533">
        <v>13620</v>
      </c>
      <c r="G172" s="506">
        <f>+E172-D172</f>
        <v>0</v>
      </c>
      <c r="H172" s="500">
        <f>+G172/D172*100</f>
        <v>0</v>
      </c>
      <c r="I172" s="182"/>
      <c r="J172" s="54"/>
      <c r="K172" s="89"/>
      <c r="L172" s="53"/>
      <c r="M172" s="425" t="s">
        <v>162</v>
      </c>
      <c r="N172" s="425"/>
      <c r="O172" s="425"/>
      <c r="P172" s="54">
        <f>SUM(P173:P175)</f>
        <v>17100000</v>
      </c>
      <c r="Q172" s="38" t="s">
        <v>148</v>
      </c>
    </row>
    <row r="173" spans="1:31" ht="15.95" customHeight="1">
      <c r="A173" s="232"/>
      <c r="B173" s="336"/>
      <c r="C173" s="495"/>
      <c r="D173" s="532"/>
      <c r="E173" s="532"/>
      <c r="F173" s="534"/>
      <c r="G173" s="508"/>
      <c r="H173" s="501"/>
      <c r="I173" s="390" t="s">
        <v>278</v>
      </c>
      <c r="J173" s="305">
        <v>6500000</v>
      </c>
      <c r="K173" s="299" t="s">
        <v>148</v>
      </c>
      <c r="L173" s="300" t="s">
        <v>123</v>
      </c>
      <c r="M173" s="384">
        <v>1</v>
      </c>
      <c r="N173" s="384" t="s">
        <v>126</v>
      </c>
      <c r="O173" s="301" t="s">
        <v>138</v>
      </c>
      <c r="P173" s="305">
        <f>SUM(J173*M173)</f>
        <v>6500000</v>
      </c>
      <c r="Q173" s="49" t="s">
        <v>148</v>
      </c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1"/>
      <c r="AE173" s="31"/>
    </row>
    <row r="174" spans="1:31" ht="15.95" customHeight="1">
      <c r="A174" s="232"/>
      <c r="B174" s="336"/>
      <c r="C174" s="495"/>
      <c r="D174" s="532"/>
      <c r="E174" s="532"/>
      <c r="F174" s="534"/>
      <c r="G174" s="508"/>
      <c r="H174" s="501"/>
      <c r="I174" s="297" t="s">
        <v>408</v>
      </c>
      <c r="J174" s="305">
        <v>9000000</v>
      </c>
      <c r="K174" s="299" t="s">
        <v>148</v>
      </c>
      <c r="L174" s="300" t="s">
        <v>123</v>
      </c>
      <c r="M174" s="384">
        <v>1</v>
      </c>
      <c r="N174" s="384" t="s">
        <v>126</v>
      </c>
      <c r="O174" s="301" t="s">
        <v>138</v>
      </c>
      <c r="P174" s="305">
        <f>SUM(J174*M174)</f>
        <v>9000000</v>
      </c>
      <c r="Q174" s="49" t="s">
        <v>148</v>
      </c>
    </row>
    <row r="175" spans="1:31" ht="15.95" customHeight="1">
      <c r="A175" s="232"/>
      <c r="B175" s="336"/>
      <c r="C175" s="495"/>
      <c r="D175" s="532"/>
      <c r="E175" s="532"/>
      <c r="F175" s="534"/>
      <c r="G175" s="508"/>
      <c r="H175" s="501"/>
      <c r="I175" s="297" t="s">
        <v>28</v>
      </c>
      <c r="J175" s="305">
        <v>1600000</v>
      </c>
      <c r="K175" s="299" t="s">
        <v>148</v>
      </c>
      <c r="L175" s="300" t="s">
        <v>123</v>
      </c>
      <c r="M175" s="384">
        <v>1</v>
      </c>
      <c r="N175" s="384" t="s">
        <v>126</v>
      </c>
      <c r="O175" s="301" t="s">
        <v>138</v>
      </c>
      <c r="P175" s="305">
        <f>SUM(J175*M175)</f>
        <v>1600000</v>
      </c>
      <c r="Q175" s="49" t="s">
        <v>148</v>
      </c>
    </row>
    <row r="176" spans="1:31" ht="20.100000000000001" customHeight="1">
      <c r="A176" s="237"/>
      <c r="B176" s="32" t="s">
        <v>229</v>
      </c>
      <c r="C176" s="375" t="s">
        <v>169</v>
      </c>
      <c r="D176" s="374">
        <f>SUM(D177:D184)</f>
        <v>15730</v>
      </c>
      <c r="E176" s="374">
        <f>SUM(E177:E184)</f>
        <v>36460</v>
      </c>
      <c r="F176" s="365">
        <f>SUM(F177:F184)</f>
        <v>18973</v>
      </c>
      <c r="G176" s="362">
        <f>+E176-D176</f>
        <v>20730</v>
      </c>
      <c r="H176" s="363">
        <f>+G176/D176*100</f>
        <v>131.78639542275906</v>
      </c>
      <c r="I176" s="214"/>
      <c r="J176" s="121"/>
      <c r="K176" s="62"/>
      <c r="L176" s="122"/>
      <c r="M176" s="339"/>
      <c r="N176" s="339"/>
      <c r="O176" s="123"/>
      <c r="P176" s="239">
        <f>SUM(P177,P183)</f>
        <v>36460000</v>
      </c>
      <c r="Q176" s="86" t="s">
        <v>148</v>
      </c>
    </row>
    <row r="177" spans="1:17" ht="15.95" customHeight="1">
      <c r="A177" s="165"/>
      <c r="B177" s="336"/>
      <c r="C177" s="560" t="s">
        <v>322</v>
      </c>
      <c r="D177" s="520">
        <v>10730</v>
      </c>
      <c r="E177" s="520">
        <f>+P177/1000</f>
        <v>33460</v>
      </c>
      <c r="F177" s="533">
        <v>18973</v>
      </c>
      <c r="G177" s="506">
        <f>+E177-D177</f>
        <v>22730</v>
      </c>
      <c r="H177" s="500">
        <f>+G177/D177*100</f>
        <v>211.83597390493941</v>
      </c>
      <c r="I177" s="182"/>
      <c r="J177" s="54"/>
      <c r="K177" s="89"/>
      <c r="L177" s="53"/>
      <c r="M177" s="425" t="s">
        <v>162</v>
      </c>
      <c r="N177" s="425"/>
      <c r="O177" s="425"/>
      <c r="P177" s="54">
        <f>SUM(P178:P182)</f>
        <v>33460000</v>
      </c>
      <c r="Q177" s="38" t="s">
        <v>148</v>
      </c>
    </row>
    <row r="178" spans="1:17" ht="15.95" customHeight="1">
      <c r="A178" s="165"/>
      <c r="B178" s="336"/>
      <c r="C178" s="561"/>
      <c r="D178" s="532"/>
      <c r="E178" s="532"/>
      <c r="F178" s="534"/>
      <c r="G178" s="508"/>
      <c r="H178" s="501"/>
      <c r="I178" s="297" t="s">
        <v>301</v>
      </c>
      <c r="J178" s="305">
        <v>4300000</v>
      </c>
      <c r="K178" s="299" t="s">
        <v>148</v>
      </c>
      <c r="L178" s="300" t="s">
        <v>123</v>
      </c>
      <c r="M178" s="384">
        <v>1</v>
      </c>
      <c r="N178" s="384" t="s">
        <v>126</v>
      </c>
      <c r="O178" s="384" t="s">
        <v>138</v>
      </c>
      <c r="P178" s="305">
        <f>J178*M178</f>
        <v>4300000</v>
      </c>
      <c r="Q178" s="49" t="s">
        <v>148</v>
      </c>
    </row>
    <row r="179" spans="1:17" ht="15.95" customHeight="1">
      <c r="A179" s="165"/>
      <c r="B179" s="336"/>
      <c r="C179" s="561"/>
      <c r="D179" s="532"/>
      <c r="E179" s="532"/>
      <c r="F179" s="371"/>
      <c r="G179" s="508"/>
      <c r="H179" s="501"/>
      <c r="I179" s="297" t="s">
        <v>388</v>
      </c>
      <c r="J179" s="305">
        <v>560000</v>
      </c>
      <c r="K179" s="299" t="s">
        <v>148</v>
      </c>
      <c r="L179" s="300" t="s">
        <v>123</v>
      </c>
      <c r="M179" s="384">
        <v>1</v>
      </c>
      <c r="N179" s="384" t="s">
        <v>126</v>
      </c>
      <c r="O179" s="384" t="s">
        <v>138</v>
      </c>
      <c r="P179" s="305">
        <f>SUM(J179*M179)</f>
        <v>560000</v>
      </c>
      <c r="Q179" s="49" t="s">
        <v>148</v>
      </c>
    </row>
    <row r="180" spans="1:17" ht="15.95" customHeight="1">
      <c r="A180" s="165"/>
      <c r="B180" s="336"/>
      <c r="C180" s="561"/>
      <c r="D180" s="532"/>
      <c r="E180" s="532"/>
      <c r="F180" s="371"/>
      <c r="G180" s="508"/>
      <c r="H180" s="501"/>
      <c r="I180" s="297" t="s">
        <v>438</v>
      </c>
      <c r="J180" s="305">
        <v>10000000</v>
      </c>
      <c r="K180" s="299" t="s">
        <v>148</v>
      </c>
      <c r="L180" s="300" t="s">
        <v>123</v>
      </c>
      <c r="M180" s="384">
        <v>2</v>
      </c>
      <c r="N180" s="384" t="s">
        <v>126</v>
      </c>
      <c r="O180" s="384" t="s">
        <v>138</v>
      </c>
      <c r="P180" s="305">
        <f>SUM(J180*M180)</f>
        <v>20000000</v>
      </c>
      <c r="Q180" s="49" t="s">
        <v>148</v>
      </c>
    </row>
    <row r="181" spans="1:17" ht="15.95" customHeight="1">
      <c r="A181" s="165"/>
      <c r="B181" s="336"/>
      <c r="C181" s="561"/>
      <c r="D181" s="532"/>
      <c r="E181" s="532"/>
      <c r="F181" s="371"/>
      <c r="G181" s="508"/>
      <c r="H181" s="501"/>
      <c r="I181" s="297" t="s">
        <v>396</v>
      </c>
      <c r="J181" s="305">
        <v>300000</v>
      </c>
      <c r="K181" s="299" t="s">
        <v>148</v>
      </c>
      <c r="L181" s="300" t="s">
        <v>123</v>
      </c>
      <c r="M181" s="384">
        <v>2</v>
      </c>
      <c r="N181" s="384" t="s">
        <v>126</v>
      </c>
      <c r="O181" s="384" t="s">
        <v>138</v>
      </c>
      <c r="P181" s="305">
        <f>SUM(J181*M181)</f>
        <v>600000</v>
      </c>
      <c r="Q181" s="49" t="s">
        <v>148</v>
      </c>
    </row>
    <row r="182" spans="1:17" ht="15.95" customHeight="1">
      <c r="A182" s="165"/>
      <c r="B182" s="336"/>
      <c r="C182" s="562"/>
      <c r="D182" s="521"/>
      <c r="E182" s="521"/>
      <c r="F182" s="371"/>
      <c r="G182" s="507"/>
      <c r="H182" s="502"/>
      <c r="I182" s="391" t="s">
        <v>437</v>
      </c>
      <c r="J182" s="305">
        <v>2000000</v>
      </c>
      <c r="K182" s="299" t="s">
        <v>148</v>
      </c>
      <c r="L182" s="300" t="s">
        <v>123</v>
      </c>
      <c r="M182" s="384">
        <v>4</v>
      </c>
      <c r="N182" s="384" t="s">
        <v>126</v>
      </c>
      <c r="O182" s="301" t="s">
        <v>138</v>
      </c>
      <c r="P182" s="305">
        <f>SUM(J182*M182)</f>
        <v>8000000</v>
      </c>
      <c r="Q182" s="49" t="s">
        <v>148</v>
      </c>
    </row>
    <row r="183" spans="1:17" ht="15.95" customHeight="1">
      <c r="A183" s="165"/>
      <c r="B183" s="336"/>
      <c r="C183" s="560" t="s">
        <v>332</v>
      </c>
      <c r="D183" s="520">
        <v>5000</v>
      </c>
      <c r="E183" s="594">
        <f>+P183/1000</f>
        <v>3000</v>
      </c>
      <c r="F183" s="597">
        <v>0</v>
      </c>
      <c r="G183" s="506">
        <f>+E183-D183</f>
        <v>-2000</v>
      </c>
      <c r="H183" s="509">
        <f>G183/D183*100</f>
        <v>-40</v>
      </c>
      <c r="I183" s="182"/>
      <c r="J183" s="54"/>
      <c r="K183" s="89"/>
      <c r="L183" s="53"/>
      <c r="M183" s="425" t="s">
        <v>162</v>
      </c>
      <c r="N183" s="425"/>
      <c r="O183" s="425"/>
      <c r="P183" s="54">
        <f>SUM(P184:P185)</f>
        <v>3000000</v>
      </c>
      <c r="Q183" s="38" t="s">
        <v>148</v>
      </c>
    </row>
    <row r="184" spans="1:17" ht="15.95" customHeight="1">
      <c r="A184" s="165"/>
      <c r="B184" s="336"/>
      <c r="C184" s="561"/>
      <c r="D184" s="532"/>
      <c r="E184" s="595"/>
      <c r="F184" s="597"/>
      <c r="G184" s="508"/>
      <c r="H184" s="510"/>
      <c r="I184" s="338" t="s">
        <v>40</v>
      </c>
      <c r="J184" s="305">
        <v>0</v>
      </c>
      <c r="K184" s="299" t="s">
        <v>148</v>
      </c>
      <c r="L184" s="300" t="s">
        <v>123</v>
      </c>
      <c r="M184" s="384"/>
      <c r="N184" s="384" t="s">
        <v>126</v>
      </c>
      <c r="O184" s="301" t="s">
        <v>138</v>
      </c>
      <c r="P184" s="305">
        <f>SUM(J184*M184)</f>
        <v>0</v>
      </c>
      <c r="Q184" s="49" t="s">
        <v>148</v>
      </c>
    </row>
    <row r="185" spans="1:17" ht="15.95" customHeight="1">
      <c r="A185" s="165"/>
      <c r="B185" s="337"/>
      <c r="C185" s="562"/>
      <c r="D185" s="521"/>
      <c r="E185" s="596"/>
      <c r="F185" s="296"/>
      <c r="G185" s="507"/>
      <c r="H185" s="511"/>
      <c r="I185" s="178" t="s">
        <v>430</v>
      </c>
      <c r="J185" s="71">
        <v>3000000</v>
      </c>
      <c r="K185" s="179" t="s">
        <v>148</v>
      </c>
      <c r="L185" s="72" t="s">
        <v>123</v>
      </c>
      <c r="M185" s="383">
        <v>1</v>
      </c>
      <c r="N185" s="383" t="s">
        <v>126</v>
      </c>
      <c r="O185" s="73" t="s">
        <v>138</v>
      </c>
      <c r="P185" s="71">
        <f>SUM(J185*M185)</f>
        <v>3000000</v>
      </c>
      <c r="Q185" s="74" t="s">
        <v>148</v>
      </c>
    </row>
    <row r="186" spans="1:17" ht="20.100000000000001" customHeight="1">
      <c r="A186" s="217"/>
      <c r="B186" s="32" t="s">
        <v>364</v>
      </c>
      <c r="C186" s="240" t="s">
        <v>169</v>
      </c>
      <c r="D186" s="374">
        <f>SUM(D187:D197)</f>
        <v>62700</v>
      </c>
      <c r="E186" s="374">
        <f>SUM(E187:E197)</f>
        <v>66470</v>
      </c>
      <c r="F186" s="241" t="e">
        <f>SUM(#REF!)</f>
        <v>#REF!</v>
      </c>
      <c r="G186" s="362">
        <f>E186-D186</f>
        <v>3770</v>
      </c>
      <c r="H186" s="363">
        <f>+G186/D186*100</f>
        <v>6.0127591706539079</v>
      </c>
      <c r="I186" s="234"/>
      <c r="J186" s="121"/>
      <c r="K186" s="62"/>
      <c r="L186" s="122"/>
      <c r="M186" s="339"/>
      <c r="N186" s="339"/>
      <c r="O186" s="123"/>
      <c r="P186" s="239">
        <f>SUM(P187,P193)</f>
        <v>66470000</v>
      </c>
      <c r="Q186" s="64" t="s">
        <v>148</v>
      </c>
    </row>
    <row r="187" spans="1:17" ht="15.95" customHeight="1">
      <c r="A187" s="165"/>
      <c r="B187" s="336"/>
      <c r="C187" s="560" t="s">
        <v>346</v>
      </c>
      <c r="D187" s="497">
        <v>31000</v>
      </c>
      <c r="E187" s="497">
        <f>+P187/1000</f>
        <v>34770</v>
      </c>
      <c r="F187" s="533">
        <v>661</v>
      </c>
      <c r="G187" s="506">
        <f>E187-D187</f>
        <v>3770</v>
      </c>
      <c r="H187" s="503">
        <f>G187/D187*100</f>
        <v>12.161290322580646</v>
      </c>
      <c r="I187" s="175"/>
      <c r="J187" s="54"/>
      <c r="K187" s="89"/>
      <c r="L187" s="53"/>
      <c r="M187" s="425" t="s">
        <v>162</v>
      </c>
      <c r="N187" s="425"/>
      <c r="O187" s="425"/>
      <c r="P187" s="54">
        <f>SUM(P188:P192)</f>
        <v>34770000</v>
      </c>
      <c r="Q187" s="38" t="s">
        <v>148</v>
      </c>
    </row>
    <row r="188" spans="1:17" ht="15.95" customHeight="1">
      <c r="A188" s="165"/>
      <c r="B188" s="336"/>
      <c r="C188" s="561"/>
      <c r="D188" s="498"/>
      <c r="E188" s="498"/>
      <c r="F188" s="534"/>
      <c r="G188" s="508"/>
      <c r="H188" s="504"/>
      <c r="I188" s="338" t="s">
        <v>434</v>
      </c>
      <c r="J188" s="305">
        <v>16170000</v>
      </c>
      <c r="K188" s="299" t="s">
        <v>148</v>
      </c>
      <c r="L188" s="300" t="s">
        <v>123</v>
      </c>
      <c r="M188" s="384">
        <v>1</v>
      </c>
      <c r="N188" s="384" t="s">
        <v>126</v>
      </c>
      <c r="O188" s="384" t="s">
        <v>138</v>
      </c>
      <c r="P188" s="305">
        <f>+J188*M188</f>
        <v>16170000</v>
      </c>
      <c r="Q188" s="49" t="s">
        <v>148</v>
      </c>
    </row>
    <row r="189" spans="1:17" ht="15.95" customHeight="1">
      <c r="A189" s="165"/>
      <c r="B189" s="336"/>
      <c r="C189" s="561"/>
      <c r="D189" s="498"/>
      <c r="E189" s="498"/>
      <c r="F189" s="534"/>
      <c r="G189" s="508"/>
      <c r="H189" s="504"/>
      <c r="I189" s="338" t="s">
        <v>435</v>
      </c>
      <c r="J189" s="305">
        <v>17000000</v>
      </c>
      <c r="K189" s="299" t="s">
        <v>148</v>
      </c>
      <c r="L189" s="300" t="s">
        <v>123</v>
      </c>
      <c r="M189" s="384">
        <v>1</v>
      </c>
      <c r="N189" s="384" t="s">
        <v>126</v>
      </c>
      <c r="O189" s="384" t="s">
        <v>138</v>
      </c>
      <c r="P189" s="305">
        <f>+J189*M189</f>
        <v>17000000</v>
      </c>
      <c r="Q189" s="49" t="s">
        <v>148</v>
      </c>
    </row>
    <row r="190" spans="1:17" ht="15.95" customHeight="1">
      <c r="A190" s="165"/>
      <c r="B190" s="336"/>
      <c r="C190" s="561"/>
      <c r="D190" s="498"/>
      <c r="E190" s="498"/>
      <c r="F190" s="534"/>
      <c r="G190" s="508"/>
      <c r="H190" s="504"/>
      <c r="I190" s="338" t="s">
        <v>436</v>
      </c>
      <c r="J190" s="305">
        <v>30000</v>
      </c>
      <c r="K190" s="299" t="s">
        <v>148</v>
      </c>
      <c r="L190" s="300" t="s">
        <v>123</v>
      </c>
      <c r="M190" s="384">
        <v>10</v>
      </c>
      <c r="N190" s="384" t="s">
        <v>126</v>
      </c>
      <c r="O190" s="384" t="s">
        <v>138</v>
      </c>
      <c r="P190" s="305">
        <f>+J190*M190</f>
        <v>300000</v>
      </c>
      <c r="Q190" s="49" t="s">
        <v>148</v>
      </c>
    </row>
    <row r="191" spans="1:17" ht="15.95" customHeight="1">
      <c r="A191" s="165"/>
      <c r="B191" s="336"/>
      <c r="C191" s="561"/>
      <c r="D191" s="498"/>
      <c r="E191" s="498"/>
      <c r="F191" s="534"/>
      <c r="G191" s="508"/>
      <c r="H191" s="504"/>
      <c r="I191" s="392" t="s">
        <v>431</v>
      </c>
      <c r="J191" s="305">
        <v>300000</v>
      </c>
      <c r="K191" s="299" t="s">
        <v>148</v>
      </c>
      <c r="L191" s="300" t="s">
        <v>123</v>
      </c>
      <c r="M191" s="384">
        <v>1</v>
      </c>
      <c r="N191" s="384" t="s">
        <v>432</v>
      </c>
      <c r="O191" s="384" t="s">
        <v>138</v>
      </c>
      <c r="P191" s="305">
        <f>+J191*M191</f>
        <v>300000</v>
      </c>
      <c r="Q191" s="49" t="s">
        <v>433</v>
      </c>
    </row>
    <row r="192" spans="1:17" ht="15.95" customHeight="1">
      <c r="A192" s="165"/>
      <c r="B192" s="336"/>
      <c r="C192" s="561"/>
      <c r="D192" s="498"/>
      <c r="E192" s="498"/>
      <c r="F192" s="534"/>
      <c r="G192" s="508"/>
      <c r="H192" s="504"/>
      <c r="I192" s="338" t="s">
        <v>274</v>
      </c>
      <c r="J192" s="305">
        <v>500000</v>
      </c>
      <c r="K192" s="299" t="s">
        <v>131</v>
      </c>
      <c r="L192" s="300" t="s">
        <v>123</v>
      </c>
      <c r="M192" s="384">
        <v>2</v>
      </c>
      <c r="N192" s="384" t="s">
        <v>126</v>
      </c>
      <c r="O192" s="384" t="s">
        <v>138</v>
      </c>
      <c r="P192" s="305">
        <f>+J192*M192</f>
        <v>1000000</v>
      </c>
      <c r="Q192" s="49" t="s">
        <v>148</v>
      </c>
    </row>
    <row r="193" spans="1:17" ht="15.95" customHeight="1">
      <c r="A193" s="242"/>
      <c r="B193" s="243"/>
      <c r="C193" s="560" t="s">
        <v>120</v>
      </c>
      <c r="D193" s="497">
        <v>31700</v>
      </c>
      <c r="E193" s="497">
        <f>+P193/1000</f>
        <v>31700</v>
      </c>
      <c r="F193" s="533">
        <v>661</v>
      </c>
      <c r="G193" s="530">
        <f>E193-D193</f>
        <v>0</v>
      </c>
      <c r="H193" s="503">
        <f>G193/D193*100</f>
        <v>0</v>
      </c>
      <c r="I193" s="42"/>
      <c r="J193" s="54"/>
      <c r="K193" s="89"/>
      <c r="L193" s="53"/>
      <c r="M193" s="425" t="s">
        <v>162</v>
      </c>
      <c r="N193" s="425"/>
      <c r="O193" s="425"/>
      <c r="P193" s="54">
        <f>SUM(P194:P197)</f>
        <v>31700000</v>
      </c>
      <c r="Q193" s="38" t="s">
        <v>148</v>
      </c>
    </row>
    <row r="194" spans="1:17" ht="15.95" customHeight="1">
      <c r="A194" s="165"/>
      <c r="B194" s="336"/>
      <c r="C194" s="561"/>
      <c r="D194" s="498"/>
      <c r="E194" s="498"/>
      <c r="F194" s="534"/>
      <c r="G194" s="530"/>
      <c r="H194" s="504"/>
      <c r="I194" s="316" t="s">
        <v>353</v>
      </c>
      <c r="J194" s="305">
        <v>70000</v>
      </c>
      <c r="K194" s="299" t="s">
        <v>148</v>
      </c>
      <c r="L194" s="300" t="s">
        <v>123</v>
      </c>
      <c r="M194" s="384">
        <v>360</v>
      </c>
      <c r="N194" s="384" t="s">
        <v>126</v>
      </c>
      <c r="O194" s="301" t="s">
        <v>138</v>
      </c>
      <c r="P194" s="305">
        <f>+J194*M194</f>
        <v>25200000</v>
      </c>
      <c r="Q194" s="49" t="s">
        <v>148</v>
      </c>
    </row>
    <row r="195" spans="1:17" ht="15.95" customHeight="1">
      <c r="A195" s="165"/>
      <c r="B195" s="336"/>
      <c r="C195" s="561"/>
      <c r="D195" s="498"/>
      <c r="E195" s="498"/>
      <c r="F195" s="534"/>
      <c r="G195" s="530"/>
      <c r="H195" s="504"/>
      <c r="I195" s="316" t="s">
        <v>392</v>
      </c>
      <c r="J195" s="305">
        <v>1500000</v>
      </c>
      <c r="K195" s="299" t="s">
        <v>148</v>
      </c>
      <c r="L195" s="300" t="s">
        <v>123</v>
      </c>
      <c r="M195" s="384">
        <v>1</v>
      </c>
      <c r="N195" s="384" t="s">
        <v>126</v>
      </c>
      <c r="O195" s="301" t="s">
        <v>138</v>
      </c>
      <c r="P195" s="305">
        <f>+J195*M195</f>
        <v>1500000</v>
      </c>
      <c r="Q195" s="49" t="s">
        <v>148</v>
      </c>
    </row>
    <row r="196" spans="1:17" ht="15.95" customHeight="1">
      <c r="A196" s="165"/>
      <c r="B196" s="336"/>
      <c r="C196" s="561"/>
      <c r="D196" s="498"/>
      <c r="E196" s="498"/>
      <c r="F196" s="534"/>
      <c r="G196" s="530"/>
      <c r="H196" s="504"/>
      <c r="I196" s="244" t="s">
        <v>109</v>
      </c>
      <c r="J196" s="305"/>
      <c r="K196" s="299" t="s">
        <v>148</v>
      </c>
      <c r="L196" s="300" t="s">
        <v>123</v>
      </c>
      <c r="M196" s="384"/>
      <c r="N196" s="384" t="s">
        <v>126</v>
      </c>
      <c r="O196" s="301" t="s">
        <v>138</v>
      </c>
      <c r="P196" s="305">
        <f>+J196*M196</f>
        <v>0</v>
      </c>
      <c r="Q196" s="49" t="s">
        <v>148</v>
      </c>
    </row>
    <row r="197" spans="1:17" ht="15.95" customHeight="1">
      <c r="A197" s="165"/>
      <c r="B197" s="337"/>
      <c r="C197" s="562"/>
      <c r="D197" s="499"/>
      <c r="E197" s="499"/>
      <c r="F197" s="535"/>
      <c r="G197" s="530"/>
      <c r="H197" s="505"/>
      <c r="I197" s="245" t="s">
        <v>398</v>
      </c>
      <c r="J197" s="71">
        <v>5000000</v>
      </c>
      <c r="K197" s="179" t="s">
        <v>148</v>
      </c>
      <c r="L197" s="72" t="s">
        <v>123</v>
      </c>
      <c r="M197" s="383">
        <v>1</v>
      </c>
      <c r="N197" s="383" t="s">
        <v>126</v>
      </c>
      <c r="O197" s="73" t="s">
        <v>138</v>
      </c>
      <c r="P197" s="71">
        <f>+J197*M197</f>
        <v>5000000</v>
      </c>
      <c r="Q197" s="74" t="s">
        <v>148</v>
      </c>
    </row>
    <row r="198" spans="1:17" ht="20.100000000000001" customHeight="1">
      <c r="A198" s="217" t="s">
        <v>462</v>
      </c>
      <c r="B198" s="32" t="s">
        <v>216</v>
      </c>
      <c r="C198" s="381" t="s">
        <v>169</v>
      </c>
      <c r="D198" s="354">
        <f>SUM(D199:D208)</f>
        <v>12864</v>
      </c>
      <c r="E198" s="354">
        <f>SUM(E199:E208)</f>
        <v>12864</v>
      </c>
      <c r="F198" s="371">
        <f>SUM(F199:F208)</f>
        <v>16571</v>
      </c>
      <c r="G198" s="347">
        <f>+E198-D198</f>
        <v>0</v>
      </c>
      <c r="H198" s="358">
        <f>+G198/D198*100</f>
        <v>0</v>
      </c>
      <c r="I198" s="338"/>
      <c r="J198" s="305"/>
      <c r="K198" s="299"/>
      <c r="L198" s="72"/>
      <c r="M198" s="383"/>
      <c r="N198" s="383"/>
      <c r="O198" s="73"/>
      <c r="P198" s="71">
        <f>SUM(P199,P206)</f>
        <v>12864000</v>
      </c>
      <c r="Q198" s="74" t="s">
        <v>148</v>
      </c>
    </row>
    <row r="199" spans="1:17" ht="15.95" customHeight="1">
      <c r="A199" s="165"/>
      <c r="B199" s="243"/>
      <c r="C199" s="494" t="s">
        <v>200</v>
      </c>
      <c r="D199" s="497">
        <v>10064</v>
      </c>
      <c r="E199" s="497">
        <f>+P199/1000</f>
        <v>10064</v>
      </c>
      <c r="F199" s="533">
        <v>9358</v>
      </c>
      <c r="G199" s="488">
        <f>+E199-D199</f>
        <v>0</v>
      </c>
      <c r="H199" s="503">
        <f>+G199/D199*100</f>
        <v>0</v>
      </c>
      <c r="I199" s="175"/>
      <c r="J199" s="54"/>
      <c r="K199" s="89"/>
      <c r="L199" s="89"/>
      <c r="M199" s="425" t="s">
        <v>162</v>
      </c>
      <c r="N199" s="425"/>
      <c r="O199" s="425"/>
      <c r="P199" s="37">
        <f>SUM(P200:P205)</f>
        <v>10064000</v>
      </c>
      <c r="Q199" s="38" t="s">
        <v>148</v>
      </c>
    </row>
    <row r="200" spans="1:17" ht="15.95" customHeight="1">
      <c r="A200" s="165"/>
      <c r="B200" s="336"/>
      <c r="C200" s="495"/>
      <c r="D200" s="498"/>
      <c r="E200" s="498"/>
      <c r="F200" s="534"/>
      <c r="G200" s="489"/>
      <c r="H200" s="504"/>
      <c r="I200" s="338" t="s">
        <v>352</v>
      </c>
      <c r="J200" s="305">
        <v>22000</v>
      </c>
      <c r="K200" s="299" t="s">
        <v>148</v>
      </c>
      <c r="L200" s="300" t="s">
        <v>123</v>
      </c>
      <c r="M200" s="384">
        <v>12</v>
      </c>
      <c r="N200" s="384" t="s">
        <v>131</v>
      </c>
      <c r="O200" s="301" t="s">
        <v>138</v>
      </c>
      <c r="P200" s="305">
        <f>SUM(J200*M200)</f>
        <v>264000</v>
      </c>
      <c r="Q200" s="49" t="s">
        <v>148</v>
      </c>
    </row>
    <row r="201" spans="1:17" ht="15.95" customHeight="1">
      <c r="A201" s="165"/>
      <c r="B201" s="336"/>
      <c r="C201" s="495"/>
      <c r="D201" s="498"/>
      <c r="E201" s="498"/>
      <c r="F201" s="534"/>
      <c r="G201" s="489"/>
      <c r="H201" s="504"/>
      <c r="I201" s="338" t="s">
        <v>304</v>
      </c>
      <c r="J201" s="305">
        <v>300000</v>
      </c>
      <c r="K201" s="299" t="s">
        <v>148</v>
      </c>
      <c r="L201" s="300" t="s">
        <v>123</v>
      </c>
      <c r="M201" s="384">
        <v>12</v>
      </c>
      <c r="N201" s="384" t="s">
        <v>131</v>
      </c>
      <c r="O201" s="301" t="s">
        <v>138</v>
      </c>
      <c r="P201" s="305">
        <f>SUM(J201*M201)</f>
        <v>3600000</v>
      </c>
      <c r="Q201" s="49" t="s">
        <v>148</v>
      </c>
    </row>
    <row r="202" spans="1:17" ht="15.95" customHeight="1">
      <c r="A202" s="165"/>
      <c r="B202" s="336"/>
      <c r="C202" s="495"/>
      <c r="D202" s="498"/>
      <c r="E202" s="498"/>
      <c r="F202" s="534"/>
      <c r="G202" s="489"/>
      <c r="H202" s="504"/>
      <c r="I202" s="338" t="s">
        <v>381</v>
      </c>
      <c r="J202" s="305">
        <v>85000</v>
      </c>
      <c r="K202" s="299" t="s">
        <v>148</v>
      </c>
      <c r="L202" s="300" t="s">
        <v>123</v>
      </c>
      <c r="M202" s="384">
        <v>12</v>
      </c>
      <c r="N202" s="384" t="s">
        <v>131</v>
      </c>
      <c r="O202" s="301" t="s">
        <v>138</v>
      </c>
      <c r="P202" s="305">
        <f>SUM(J202*M202)</f>
        <v>1020000</v>
      </c>
      <c r="Q202" s="49" t="s">
        <v>148</v>
      </c>
    </row>
    <row r="203" spans="1:17" ht="15.95" customHeight="1">
      <c r="A203" s="165"/>
      <c r="B203" s="336"/>
      <c r="C203" s="495"/>
      <c r="D203" s="498"/>
      <c r="E203" s="498"/>
      <c r="F203" s="534"/>
      <c r="G203" s="489"/>
      <c r="H203" s="504"/>
      <c r="I203" s="338" t="s">
        <v>34</v>
      </c>
      <c r="J203" s="305">
        <v>380000</v>
      </c>
      <c r="K203" s="299" t="s">
        <v>148</v>
      </c>
      <c r="L203" s="300" t="s">
        <v>123</v>
      </c>
      <c r="M203" s="384">
        <v>12</v>
      </c>
      <c r="N203" s="384" t="s">
        <v>131</v>
      </c>
      <c r="O203" s="301" t="s">
        <v>138</v>
      </c>
      <c r="P203" s="305">
        <f>SUM(J203*M203)</f>
        <v>4560000</v>
      </c>
      <c r="Q203" s="49" t="s">
        <v>148</v>
      </c>
    </row>
    <row r="204" spans="1:17" ht="15.95" customHeight="1">
      <c r="A204" s="165"/>
      <c r="B204" s="336"/>
      <c r="C204" s="495"/>
      <c r="D204" s="498"/>
      <c r="E204" s="498"/>
      <c r="F204" s="534"/>
      <c r="G204" s="489"/>
      <c r="H204" s="504"/>
      <c r="I204" s="338" t="s">
        <v>406</v>
      </c>
      <c r="J204" s="305">
        <v>35000</v>
      </c>
      <c r="K204" s="299" t="s">
        <v>148</v>
      </c>
      <c r="L204" s="300" t="s">
        <v>123</v>
      </c>
      <c r="M204" s="384">
        <v>12</v>
      </c>
      <c r="N204" s="384" t="s">
        <v>126</v>
      </c>
      <c r="O204" s="301" t="s">
        <v>138</v>
      </c>
      <c r="P204" s="305">
        <f>SUM(J204*M204)</f>
        <v>420000</v>
      </c>
      <c r="Q204" s="49" t="s">
        <v>148</v>
      </c>
    </row>
    <row r="205" spans="1:17" ht="15.95" customHeight="1">
      <c r="A205" s="165"/>
      <c r="B205" s="336"/>
      <c r="C205" s="495"/>
      <c r="D205" s="498"/>
      <c r="E205" s="498"/>
      <c r="F205" s="371"/>
      <c r="G205" s="489"/>
      <c r="H205" s="504"/>
      <c r="I205" s="338" t="s">
        <v>287</v>
      </c>
      <c r="J205" s="305">
        <v>200000</v>
      </c>
      <c r="K205" s="299" t="s">
        <v>148</v>
      </c>
      <c r="L205" s="300" t="s">
        <v>123</v>
      </c>
      <c r="M205" s="384">
        <v>1</v>
      </c>
      <c r="N205" s="384" t="s">
        <v>126</v>
      </c>
      <c r="O205" s="301" t="s">
        <v>138</v>
      </c>
      <c r="P205" s="305">
        <f>J205*M205</f>
        <v>200000</v>
      </c>
      <c r="Q205" s="49" t="s">
        <v>148</v>
      </c>
    </row>
    <row r="206" spans="1:17" ht="15.95" customHeight="1">
      <c r="A206" s="165"/>
      <c r="B206" s="336"/>
      <c r="C206" s="494" t="s">
        <v>226</v>
      </c>
      <c r="D206" s="497">
        <v>2800</v>
      </c>
      <c r="E206" s="497">
        <f>+P206/1000</f>
        <v>2800</v>
      </c>
      <c r="F206" s="533">
        <v>7213</v>
      </c>
      <c r="G206" s="488">
        <f>+E206-D206</f>
        <v>0</v>
      </c>
      <c r="H206" s="503"/>
      <c r="I206" s="175"/>
      <c r="J206" s="54"/>
      <c r="K206" s="89"/>
      <c r="L206" s="53"/>
      <c r="M206" s="425" t="s">
        <v>162</v>
      </c>
      <c r="N206" s="425"/>
      <c r="O206" s="425"/>
      <c r="P206" s="37">
        <f>SUM(P207:P208)</f>
        <v>2800000</v>
      </c>
      <c r="Q206" s="38" t="s">
        <v>148</v>
      </c>
    </row>
    <row r="207" spans="1:17" ht="15.95" customHeight="1">
      <c r="A207" s="165"/>
      <c r="B207" s="336"/>
      <c r="C207" s="495"/>
      <c r="D207" s="593"/>
      <c r="E207" s="593"/>
      <c r="F207" s="534"/>
      <c r="G207" s="595"/>
      <c r="H207" s="598"/>
      <c r="I207" s="180" t="s">
        <v>257</v>
      </c>
      <c r="J207" s="305">
        <v>150000</v>
      </c>
      <c r="K207" s="299" t="s">
        <v>148</v>
      </c>
      <c r="L207" s="300" t="s">
        <v>123</v>
      </c>
      <c r="M207" s="384">
        <v>12</v>
      </c>
      <c r="N207" s="384" t="s">
        <v>126</v>
      </c>
      <c r="O207" s="301"/>
      <c r="P207" s="305">
        <f>SUM(J207*M207)</f>
        <v>1800000</v>
      </c>
      <c r="Q207" s="49" t="s">
        <v>148</v>
      </c>
    </row>
    <row r="208" spans="1:17" ht="15.95" customHeight="1">
      <c r="A208" s="165"/>
      <c r="B208" s="336"/>
      <c r="C208" s="495"/>
      <c r="D208" s="593"/>
      <c r="E208" s="593"/>
      <c r="F208" s="534"/>
      <c r="G208" s="595"/>
      <c r="H208" s="598"/>
      <c r="I208" s="338" t="s">
        <v>320</v>
      </c>
      <c r="J208" s="305">
        <v>1000000</v>
      </c>
      <c r="K208" s="299" t="s">
        <v>148</v>
      </c>
      <c r="L208" s="300" t="s">
        <v>123</v>
      </c>
      <c r="M208" s="384">
        <v>1</v>
      </c>
      <c r="N208" s="384" t="s">
        <v>126</v>
      </c>
      <c r="O208" s="301" t="s">
        <v>138</v>
      </c>
      <c r="P208" s="305">
        <f>SUM(J208*M208)</f>
        <v>1000000</v>
      </c>
      <c r="Q208" s="49" t="s">
        <v>148</v>
      </c>
    </row>
    <row r="209" spans="1:17" ht="21.75" customHeight="1">
      <c r="A209" s="246" t="s">
        <v>130</v>
      </c>
      <c r="B209" s="429" t="s">
        <v>168</v>
      </c>
      <c r="C209" s="430"/>
      <c r="D209" s="247">
        <f>SUM(D210:D300)</f>
        <v>1358530.0000500001</v>
      </c>
      <c r="E209" s="247">
        <f t="shared" ref="E209:E234" si="6">P209/1000</f>
        <v>1461836.0898196001</v>
      </c>
      <c r="F209" s="248" t="e">
        <f>SUM(F210:F218,F222:F299)</f>
        <v>#VALUE!</v>
      </c>
      <c r="G209" s="249">
        <f>+E209-D209</f>
        <v>103306.08976959996</v>
      </c>
      <c r="H209" s="250">
        <f t="shared" ref="H209:H221" si="7">+G209/D209*100</f>
        <v>7.6042553175710372</v>
      </c>
      <c r="I209" s="214"/>
      <c r="J209" s="121"/>
      <c r="K209" s="62"/>
      <c r="L209" s="339"/>
      <c r="M209" s="339"/>
      <c r="N209" s="339"/>
      <c r="O209" s="339"/>
      <c r="P209" s="121">
        <f>SUM(P210:P300)</f>
        <v>1461836089.8196001</v>
      </c>
      <c r="Q209" s="86" t="s">
        <v>148</v>
      </c>
    </row>
    <row r="210" spans="1:17" ht="17.45" customHeight="1">
      <c r="A210" s="165"/>
      <c r="B210" s="344" t="s">
        <v>130</v>
      </c>
      <c r="C210" s="380" t="s">
        <v>220</v>
      </c>
      <c r="D210" s="251">
        <v>43000</v>
      </c>
      <c r="E210" s="374">
        <f t="shared" si="6"/>
        <v>43000</v>
      </c>
      <c r="F210" s="252"/>
      <c r="G210" s="362">
        <f t="shared" ref="G210:G218" si="8">E210-D210</f>
        <v>0</v>
      </c>
      <c r="H210" s="363">
        <f t="shared" si="7"/>
        <v>0</v>
      </c>
      <c r="I210" s="253" t="s">
        <v>331</v>
      </c>
      <c r="J210" s="43">
        <v>10750000</v>
      </c>
      <c r="K210" s="254" t="s">
        <v>148</v>
      </c>
      <c r="L210" s="255" t="s">
        <v>123</v>
      </c>
      <c r="M210" s="256">
        <v>4</v>
      </c>
      <c r="N210" s="256" t="s">
        <v>126</v>
      </c>
      <c r="O210" s="257" t="s">
        <v>138</v>
      </c>
      <c r="P210" s="43">
        <f>J210*M210</f>
        <v>43000000</v>
      </c>
      <c r="Q210" s="258" t="s">
        <v>148</v>
      </c>
    </row>
    <row r="211" spans="1:17" ht="17.45" customHeight="1">
      <c r="A211" s="165"/>
      <c r="B211" s="344"/>
      <c r="C211" s="259" t="s">
        <v>23</v>
      </c>
      <c r="D211" s="251">
        <v>40000</v>
      </c>
      <c r="E211" s="374">
        <f t="shared" si="6"/>
        <v>40000</v>
      </c>
      <c r="F211" s="252"/>
      <c r="G211" s="362">
        <f t="shared" si="8"/>
        <v>0</v>
      </c>
      <c r="H211" s="363">
        <f t="shared" si="7"/>
        <v>0</v>
      </c>
      <c r="I211" s="253" t="s">
        <v>331</v>
      </c>
      <c r="J211" s="298">
        <v>10000000</v>
      </c>
      <c r="K211" s="317" t="s">
        <v>148</v>
      </c>
      <c r="L211" s="318" t="s">
        <v>123</v>
      </c>
      <c r="M211" s="319">
        <v>4</v>
      </c>
      <c r="N211" s="319" t="s">
        <v>126</v>
      </c>
      <c r="O211" s="320" t="s">
        <v>138</v>
      </c>
      <c r="P211" s="298">
        <f t="shared" ref="P211:P270" si="9">J211*M211</f>
        <v>40000000</v>
      </c>
      <c r="Q211" s="260" t="s">
        <v>148</v>
      </c>
    </row>
    <row r="212" spans="1:17" ht="17.45" customHeight="1">
      <c r="A212" s="165"/>
      <c r="B212" s="344"/>
      <c r="C212" s="380" t="s">
        <v>308</v>
      </c>
      <c r="D212" s="374">
        <v>48000</v>
      </c>
      <c r="E212" s="374">
        <f t="shared" si="6"/>
        <v>47000</v>
      </c>
      <c r="F212" s="252"/>
      <c r="G212" s="362">
        <f t="shared" si="8"/>
        <v>-1000</v>
      </c>
      <c r="H212" s="363">
        <f t="shared" si="7"/>
        <v>-2.083333333333333</v>
      </c>
      <c r="I212" s="253" t="s">
        <v>331</v>
      </c>
      <c r="J212" s="298">
        <v>11750000</v>
      </c>
      <c r="K212" s="317" t="s">
        <v>148</v>
      </c>
      <c r="L212" s="318" t="s">
        <v>123</v>
      </c>
      <c r="M212" s="319">
        <v>4</v>
      </c>
      <c r="N212" s="319" t="s">
        <v>126</v>
      </c>
      <c r="O212" s="320" t="s">
        <v>138</v>
      </c>
      <c r="P212" s="298">
        <f t="shared" si="9"/>
        <v>47000000</v>
      </c>
      <c r="Q212" s="260" t="s">
        <v>148</v>
      </c>
    </row>
    <row r="213" spans="1:17" ht="17.45" customHeight="1">
      <c r="A213" s="165"/>
      <c r="B213" s="336"/>
      <c r="C213" s="380" t="s">
        <v>307</v>
      </c>
      <c r="D213" s="251">
        <v>40000</v>
      </c>
      <c r="E213" s="374">
        <f t="shared" si="6"/>
        <v>40000</v>
      </c>
      <c r="F213" s="252"/>
      <c r="G213" s="362">
        <f t="shared" si="8"/>
        <v>0</v>
      </c>
      <c r="H213" s="363">
        <f t="shared" si="7"/>
        <v>0</v>
      </c>
      <c r="I213" s="253" t="s">
        <v>331</v>
      </c>
      <c r="J213" s="298">
        <v>10000000</v>
      </c>
      <c r="K213" s="317" t="s">
        <v>148</v>
      </c>
      <c r="L213" s="318" t="s">
        <v>123</v>
      </c>
      <c r="M213" s="319">
        <v>4</v>
      </c>
      <c r="N213" s="319" t="s">
        <v>126</v>
      </c>
      <c r="O213" s="320" t="s">
        <v>138</v>
      </c>
      <c r="P213" s="298">
        <f t="shared" si="9"/>
        <v>40000000</v>
      </c>
      <c r="Q213" s="260" t="s">
        <v>148</v>
      </c>
    </row>
    <row r="214" spans="1:17" ht="17.45" customHeight="1">
      <c r="A214" s="217"/>
      <c r="B214" s="344"/>
      <c r="C214" s="352" t="s">
        <v>222</v>
      </c>
      <c r="D214" s="355">
        <v>40000</v>
      </c>
      <c r="E214" s="355">
        <f t="shared" si="6"/>
        <v>40000</v>
      </c>
      <c r="F214" s="261"/>
      <c r="G214" s="348">
        <f t="shared" si="8"/>
        <v>0</v>
      </c>
      <c r="H214" s="359">
        <f t="shared" si="7"/>
        <v>0</v>
      </c>
      <c r="I214" s="253" t="s">
        <v>331</v>
      </c>
      <c r="J214" s="298">
        <v>10000000</v>
      </c>
      <c r="K214" s="317" t="s">
        <v>148</v>
      </c>
      <c r="L214" s="318" t="s">
        <v>123</v>
      </c>
      <c r="M214" s="319">
        <v>4</v>
      </c>
      <c r="N214" s="319" t="s">
        <v>126</v>
      </c>
      <c r="O214" s="320" t="s">
        <v>138</v>
      </c>
      <c r="P214" s="298">
        <f t="shared" si="9"/>
        <v>40000000</v>
      </c>
      <c r="Q214" s="260" t="s">
        <v>148</v>
      </c>
    </row>
    <row r="215" spans="1:17" ht="17.45" customHeight="1">
      <c r="A215" s="20"/>
      <c r="B215" s="344"/>
      <c r="C215" s="352" t="s">
        <v>270</v>
      </c>
      <c r="D215" s="220">
        <v>36000</v>
      </c>
      <c r="E215" s="355">
        <f t="shared" si="6"/>
        <v>36000</v>
      </c>
      <c r="F215" s="261"/>
      <c r="G215" s="348">
        <f t="shared" si="8"/>
        <v>0</v>
      </c>
      <c r="H215" s="359">
        <f t="shared" si="7"/>
        <v>0</v>
      </c>
      <c r="I215" s="253" t="s">
        <v>331</v>
      </c>
      <c r="J215" s="298">
        <v>9000000</v>
      </c>
      <c r="K215" s="317" t="s">
        <v>148</v>
      </c>
      <c r="L215" s="318" t="s">
        <v>123</v>
      </c>
      <c r="M215" s="319">
        <v>4</v>
      </c>
      <c r="N215" s="319" t="s">
        <v>126</v>
      </c>
      <c r="O215" s="320" t="s">
        <v>138</v>
      </c>
      <c r="P215" s="298">
        <f t="shared" si="9"/>
        <v>36000000</v>
      </c>
      <c r="Q215" s="260" t="s">
        <v>148</v>
      </c>
    </row>
    <row r="216" spans="1:17" ht="17.45" customHeight="1">
      <c r="A216" s="217"/>
      <c r="B216" s="344"/>
      <c r="C216" s="380" t="s">
        <v>248</v>
      </c>
      <c r="D216" s="251">
        <v>45000</v>
      </c>
      <c r="E216" s="374">
        <f t="shared" si="6"/>
        <v>45000</v>
      </c>
      <c r="F216" s="252"/>
      <c r="G216" s="362">
        <f t="shared" si="8"/>
        <v>0</v>
      </c>
      <c r="H216" s="363">
        <f t="shared" si="7"/>
        <v>0</v>
      </c>
      <c r="I216" s="253" t="s">
        <v>331</v>
      </c>
      <c r="J216" s="298">
        <v>11250000</v>
      </c>
      <c r="K216" s="317" t="s">
        <v>148</v>
      </c>
      <c r="L216" s="318" t="s">
        <v>123</v>
      </c>
      <c r="M216" s="319">
        <v>4</v>
      </c>
      <c r="N216" s="319" t="s">
        <v>126</v>
      </c>
      <c r="O216" s="320" t="s">
        <v>138</v>
      </c>
      <c r="P216" s="298">
        <f t="shared" si="9"/>
        <v>45000000</v>
      </c>
      <c r="Q216" s="262" t="s">
        <v>148</v>
      </c>
    </row>
    <row r="217" spans="1:17" ht="17.45" customHeight="1">
      <c r="A217" s="217"/>
      <c r="B217" s="344"/>
      <c r="C217" s="352" t="s">
        <v>240</v>
      </c>
      <c r="D217" s="220">
        <v>40000</v>
      </c>
      <c r="E217" s="355">
        <f t="shared" si="6"/>
        <v>40000</v>
      </c>
      <c r="F217" s="261"/>
      <c r="G217" s="348">
        <f t="shared" si="8"/>
        <v>0</v>
      </c>
      <c r="H217" s="359">
        <f t="shared" si="7"/>
        <v>0</v>
      </c>
      <c r="I217" s="263" t="s">
        <v>331</v>
      </c>
      <c r="J217" s="298">
        <v>10000000</v>
      </c>
      <c r="K217" s="317" t="s">
        <v>148</v>
      </c>
      <c r="L217" s="318" t="s">
        <v>123</v>
      </c>
      <c r="M217" s="319">
        <v>4</v>
      </c>
      <c r="N217" s="319" t="s">
        <v>126</v>
      </c>
      <c r="O217" s="320" t="s">
        <v>138</v>
      </c>
      <c r="P217" s="298">
        <f t="shared" si="9"/>
        <v>40000000</v>
      </c>
      <c r="Q217" s="260" t="s">
        <v>148</v>
      </c>
    </row>
    <row r="218" spans="1:17" ht="18" customHeight="1">
      <c r="A218" s="165"/>
      <c r="B218" s="336"/>
      <c r="C218" s="380" t="s">
        <v>60</v>
      </c>
      <c r="D218" s="251">
        <v>60000</v>
      </c>
      <c r="E218" s="374">
        <f t="shared" si="6"/>
        <v>53333</v>
      </c>
      <c r="F218" s="252"/>
      <c r="G218" s="362">
        <f t="shared" si="8"/>
        <v>-6667</v>
      </c>
      <c r="H218" s="363">
        <f t="shared" si="7"/>
        <v>-11.111666666666666</v>
      </c>
      <c r="I218" s="253" t="s">
        <v>331</v>
      </c>
      <c r="J218" s="298">
        <v>13333250</v>
      </c>
      <c r="K218" s="317" t="s">
        <v>148</v>
      </c>
      <c r="L218" s="318" t="s">
        <v>123</v>
      </c>
      <c r="M218" s="319">
        <v>4</v>
      </c>
      <c r="N218" s="319" t="s">
        <v>126</v>
      </c>
      <c r="O218" s="320" t="s">
        <v>138</v>
      </c>
      <c r="P218" s="298">
        <f t="shared" si="9"/>
        <v>53333000</v>
      </c>
      <c r="Q218" s="260" t="s">
        <v>148</v>
      </c>
    </row>
    <row r="219" spans="1:17" ht="17.45" customHeight="1">
      <c r="A219" s="165"/>
      <c r="B219" s="336"/>
      <c r="C219" s="259" t="s">
        <v>30</v>
      </c>
      <c r="D219" s="374">
        <v>340000.00020000001</v>
      </c>
      <c r="E219" s="374">
        <f t="shared" si="6"/>
        <v>394999.99999979994</v>
      </c>
      <c r="F219" s="252"/>
      <c r="G219" s="362">
        <f>+E219-D219</f>
        <v>54999.999799799931</v>
      </c>
      <c r="H219" s="363">
        <f t="shared" si="7"/>
        <v>16.176470519837348</v>
      </c>
      <c r="I219" s="253" t="s">
        <v>425</v>
      </c>
      <c r="J219" s="298">
        <v>30384615.384599999</v>
      </c>
      <c r="K219" s="317" t="s">
        <v>148</v>
      </c>
      <c r="L219" s="318" t="s">
        <v>123</v>
      </c>
      <c r="M219" s="319">
        <v>13</v>
      </c>
      <c r="N219" s="319" t="s">
        <v>126</v>
      </c>
      <c r="O219" s="320" t="s">
        <v>138</v>
      </c>
      <c r="P219" s="298">
        <f t="shared" si="9"/>
        <v>394999999.99979997</v>
      </c>
      <c r="Q219" s="260" t="s">
        <v>148</v>
      </c>
    </row>
    <row r="220" spans="1:17" ht="17.45" customHeight="1">
      <c r="A220" s="165"/>
      <c r="B220" s="336"/>
      <c r="C220" s="380" t="s">
        <v>191</v>
      </c>
      <c r="D220" s="251">
        <v>40000</v>
      </c>
      <c r="E220" s="374">
        <f t="shared" si="6"/>
        <v>40000</v>
      </c>
      <c r="F220" s="252"/>
      <c r="G220" s="362">
        <f>E220-D220</f>
        <v>0</v>
      </c>
      <c r="H220" s="363">
        <f t="shared" si="7"/>
        <v>0</v>
      </c>
      <c r="I220" s="253" t="s">
        <v>331</v>
      </c>
      <c r="J220" s="298">
        <v>10000000</v>
      </c>
      <c r="K220" s="317" t="s">
        <v>148</v>
      </c>
      <c r="L220" s="318" t="s">
        <v>123</v>
      </c>
      <c r="M220" s="319">
        <v>4</v>
      </c>
      <c r="N220" s="319" t="s">
        <v>126</v>
      </c>
      <c r="O220" s="320" t="s">
        <v>138</v>
      </c>
      <c r="P220" s="298">
        <f t="shared" si="9"/>
        <v>40000000</v>
      </c>
      <c r="Q220" s="262" t="s">
        <v>148</v>
      </c>
    </row>
    <row r="221" spans="1:17" ht="17.45" customHeight="1">
      <c r="A221" s="217"/>
      <c r="B221" s="344"/>
      <c r="C221" s="382" t="s">
        <v>93</v>
      </c>
      <c r="D221" s="355">
        <v>15000</v>
      </c>
      <c r="E221" s="355">
        <f t="shared" si="6"/>
        <v>18000</v>
      </c>
      <c r="F221" s="261"/>
      <c r="G221" s="348">
        <f>+E221-D221</f>
        <v>3000</v>
      </c>
      <c r="H221" s="359">
        <f t="shared" si="7"/>
        <v>20</v>
      </c>
      <c r="I221" s="253" t="s">
        <v>331</v>
      </c>
      <c r="J221" s="298">
        <v>4500000</v>
      </c>
      <c r="K221" s="317" t="s">
        <v>148</v>
      </c>
      <c r="L221" s="318" t="s">
        <v>123</v>
      </c>
      <c r="M221" s="319">
        <v>4</v>
      </c>
      <c r="N221" s="319" t="s">
        <v>126</v>
      </c>
      <c r="O221" s="320" t="s">
        <v>138</v>
      </c>
      <c r="P221" s="298">
        <f t="shared" si="9"/>
        <v>18000000</v>
      </c>
      <c r="Q221" s="260" t="s">
        <v>148</v>
      </c>
    </row>
    <row r="222" spans="1:17" ht="17.45" customHeight="1">
      <c r="A222" s="165"/>
      <c r="B222" s="336"/>
      <c r="C222" s="259" t="s">
        <v>85</v>
      </c>
      <c r="D222" s="374">
        <v>28000</v>
      </c>
      <c r="E222" s="374">
        <f t="shared" si="6"/>
        <v>28000</v>
      </c>
      <c r="F222" s="252"/>
      <c r="G222" s="362">
        <f>E222-D222</f>
        <v>0</v>
      </c>
      <c r="H222" s="363">
        <f>+G222/D222*100</f>
        <v>0</v>
      </c>
      <c r="I222" s="253" t="s">
        <v>331</v>
      </c>
      <c r="J222" s="298">
        <v>7000000</v>
      </c>
      <c r="K222" s="317" t="s">
        <v>148</v>
      </c>
      <c r="L222" s="318" t="s">
        <v>123</v>
      </c>
      <c r="M222" s="319">
        <v>4</v>
      </c>
      <c r="N222" s="319" t="s">
        <v>126</v>
      </c>
      <c r="O222" s="320" t="s">
        <v>138</v>
      </c>
      <c r="P222" s="298">
        <f t="shared" si="9"/>
        <v>28000000</v>
      </c>
      <c r="Q222" s="260" t="s">
        <v>148</v>
      </c>
    </row>
    <row r="223" spans="1:17" ht="17.45" customHeight="1">
      <c r="A223" s="165"/>
      <c r="B223" s="336"/>
      <c r="C223" s="259" t="s">
        <v>84</v>
      </c>
      <c r="D223" s="374">
        <v>2000</v>
      </c>
      <c r="E223" s="374">
        <f t="shared" si="6"/>
        <v>2000</v>
      </c>
      <c r="F223" s="252"/>
      <c r="G223" s="362">
        <f>E223-D223</f>
        <v>0</v>
      </c>
      <c r="H223" s="363">
        <f>+G223/D223*100</f>
        <v>0</v>
      </c>
      <c r="I223" s="253" t="s">
        <v>331</v>
      </c>
      <c r="J223" s="298">
        <v>500000</v>
      </c>
      <c r="K223" s="317" t="s">
        <v>148</v>
      </c>
      <c r="L223" s="318" t="s">
        <v>123</v>
      </c>
      <c r="M223" s="319">
        <v>4</v>
      </c>
      <c r="N223" s="319" t="s">
        <v>126</v>
      </c>
      <c r="O223" s="320" t="s">
        <v>138</v>
      </c>
      <c r="P223" s="298">
        <f t="shared" si="9"/>
        <v>2000000</v>
      </c>
      <c r="Q223" s="260" t="s">
        <v>148</v>
      </c>
    </row>
    <row r="224" spans="1:17" ht="17.45" customHeight="1">
      <c r="A224" s="165"/>
      <c r="B224" s="336"/>
      <c r="C224" s="380" t="s">
        <v>241</v>
      </c>
      <c r="D224" s="374">
        <v>20000</v>
      </c>
      <c r="E224" s="374">
        <f t="shared" si="6"/>
        <v>20000</v>
      </c>
      <c r="F224" s="252"/>
      <c r="G224" s="362">
        <f t="shared" ref="G224:G234" si="10">+E224-D224</f>
        <v>0</v>
      </c>
      <c r="H224" s="363">
        <f>+G224/D224*100</f>
        <v>0</v>
      </c>
      <c r="I224" s="263" t="s">
        <v>331</v>
      </c>
      <c r="J224" s="298">
        <v>5000000</v>
      </c>
      <c r="K224" s="317" t="s">
        <v>148</v>
      </c>
      <c r="L224" s="318" t="s">
        <v>123</v>
      </c>
      <c r="M224" s="319">
        <v>4</v>
      </c>
      <c r="N224" s="319" t="s">
        <v>126</v>
      </c>
      <c r="O224" s="320" t="s">
        <v>138</v>
      </c>
      <c r="P224" s="298">
        <f t="shared" si="9"/>
        <v>20000000</v>
      </c>
      <c r="Q224" s="260" t="s">
        <v>148</v>
      </c>
    </row>
    <row r="225" spans="1:29" ht="17.45" customHeight="1">
      <c r="A225" s="165"/>
      <c r="B225" s="336"/>
      <c r="C225" s="376" t="s">
        <v>112</v>
      </c>
      <c r="D225" s="346">
        <v>3600</v>
      </c>
      <c r="E225" s="374">
        <f t="shared" si="6"/>
        <v>2520</v>
      </c>
      <c r="F225" s="264"/>
      <c r="G225" s="362">
        <f t="shared" si="10"/>
        <v>-1080</v>
      </c>
      <c r="H225" s="363">
        <f t="shared" ref="H225:H229" si="11">+G225/D225*100</f>
        <v>-30</v>
      </c>
      <c r="I225" s="263" t="s">
        <v>331</v>
      </c>
      <c r="J225" s="298">
        <v>2520000</v>
      </c>
      <c r="K225" s="317" t="s">
        <v>148</v>
      </c>
      <c r="L225" s="318" t="s">
        <v>123</v>
      </c>
      <c r="M225" s="319">
        <v>1</v>
      </c>
      <c r="N225" s="319" t="s">
        <v>126</v>
      </c>
      <c r="O225" s="320" t="s">
        <v>138</v>
      </c>
      <c r="P225" s="298">
        <f>J225*M225</f>
        <v>2520000</v>
      </c>
      <c r="Q225" s="260" t="s">
        <v>148</v>
      </c>
    </row>
    <row r="226" spans="1:29" ht="17.45" customHeight="1">
      <c r="A226" s="165"/>
      <c r="B226" s="336"/>
      <c r="C226" s="376" t="s">
        <v>113</v>
      </c>
      <c r="D226" s="346">
        <v>3600</v>
      </c>
      <c r="E226" s="374">
        <f t="shared" si="6"/>
        <v>2880</v>
      </c>
      <c r="F226" s="264"/>
      <c r="G226" s="362">
        <f t="shared" si="10"/>
        <v>-720</v>
      </c>
      <c r="H226" s="363">
        <f t="shared" si="11"/>
        <v>-20</v>
      </c>
      <c r="I226" s="263" t="s">
        <v>331</v>
      </c>
      <c r="J226" s="298">
        <v>2880000</v>
      </c>
      <c r="K226" s="317" t="s">
        <v>148</v>
      </c>
      <c r="L226" s="318" t="s">
        <v>123</v>
      </c>
      <c r="M226" s="319">
        <v>1</v>
      </c>
      <c r="N226" s="319" t="s">
        <v>126</v>
      </c>
      <c r="O226" s="320" t="s">
        <v>138</v>
      </c>
      <c r="P226" s="298">
        <f>J226*M226</f>
        <v>2880000</v>
      </c>
      <c r="Q226" s="260" t="s">
        <v>148</v>
      </c>
    </row>
    <row r="227" spans="1:29" ht="17.45" customHeight="1">
      <c r="A227" s="165"/>
      <c r="B227" s="336"/>
      <c r="C227" s="376" t="s">
        <v>110</v>
      </c>
      <c r="D227" s="346">
        <v>3600</v>
      </c>
      <c r="E227" s="374">
        <f t="shared" si="6"/>
        <v>2880</v>
      </c>
      <c r="F227" s="264"/>
      <c r="G227" s="362">
        <f t="shared" si="10"/>
        <v>-720</v>
      </c>
      <c r="H227" s="363">
        <f t="shared" si="11"/>
        <v>-20</v>
      </c>
      <c r="I227" s="263" t="s">
        <v>331</v>
      </c>
      <c r="J227" s="298">
        <v>2880000</v>
      </c>
      <c r="K227" s="317" t="s">
        <v>148</v>
      </c>
      <c r="L227" s="318" t="s">
        <v>123</v>
      </c>
      <c r="M227" s="319">
        <v>1</v>
      </c>
      <c r="N227" s="319" t="s">
        <v>126</v>
      </c>
      <c r="O227" s="320" t="s">
        <v>138</v>
      </c>
      <c r="P227" s="298">
        <f>J227*M227</f>
        <v>2880000</v>
      </c>
      <c r="Q227" s="260" t="s">
        <v>148</v>
      </c>
    </row>
    <row r="228" spans="1:29" ht="17.45" customHeight="1">
      <c r="A228" s="165"/>
      <c r="B228" s="336"/>
      <c r="C228" s="376" t="s">
        <v>111</v>
      </c>
      <c r="D228" s="346">
        <v>3600</v>
      </c>
      <c r="E228" s="374">
        <f t="shared" si="6"/>
        <v>2520</v>
      </c>
      <c r="F228" s="264"/>
      <c r="G228" s="362">
        <f t="shared" si="10"/>
        <v>-1080</v>
      </c>
      <c r="H228" s="363">
        <f t="shared" si="11"/>
        <v>-30</v>
      </c>
      <c r="I228" s="263" t="s">
        <v>331</v>
      </c>
      <c r="J228" s="298">
        <v>2520000</v>
      </c>
      <c r="K228" s="317" t="s">
        <v>148</v>
      </c>
      <c r="L228" s="318" t="s">
        <v>123</v>
      </c>
      <c r="M228" s="319">
        <v>1</v>
      </c>
      <c r="N228" s="319" t="s">
        <v>126</v>
      </c>
      <c r="O228" s="320" t="s">
        <v>138</v>
      </c>
      <c r="P228" s="298">
        <f>J228*M228</f>
        <v>2520000</v>
      </c>
      <c r="Q228" s="260" t="s">
        <v>148</v>
      </c>
    </row>
    <row r="229" spans="1:29" ht="17.45" customHeight="1">
      <c r="A229" s="165"/>
      <c r="B229" s="336"/>
      <c r="C229" s="259" t="s">
        <v>114</v>
      </c>
      <c r="D229" s="362">
        <v>3600</v>
      </c>
      <c r="E229" s="374">
        <f t="shared" si="6"/>
        <v>2520</v>
      </c>
      <c r="F229" s="252"/>
      <c r="G229" s="362">
        <f t="shared" si="10"/>
        <v>-1080</v>
      </c>
      <c r="H229" s="363">
        <f t="shared" si="11"/>
        <v>-30</v>
      </c>
      <c r="I229" s="393" t="s">
        <v>331</v>
      </c>
      <c r="J229" s="52">
        <v>2520000</v>
      </c>
      <c r="K229" s="273" t="s">
        <v>148</v>
      </c>
      <c r="L229" s="274" t="s">
        <v>123</v>
      </c>
      <c r="M229" s="275">
        <v>1</v>
      </c>
      <c r="N229" s="275" t="s">
        <v>126</v>
      </c>
      <c r="O229" s="276" t="s">
        <v>138</v>
      </c>
      <c r="P229" s="52">
        <f>J229*M229</f>
        <v>2520000</v>
      </c>
      <c r="Q229" s="262" t="s">
        <v>148</v>
      </c>
    </row>
    <row r="230" spans="1:29" ht="17.45" customHeight="1">
      <c r="A230" s="217" t="s">
        <v>463</v>
      </c>
      <c r="B230" s="344" t="s">
        <v>463</v>
      </c>
      <c r="C230" s="351" t="s">
        <v>277</v>
      </c>
      <c r="D230" s="354">
        <v>1800</v>
      </c>
      <c r="E230" s="355">
        <f t="shared" si="6"/>
        <v>3600</v>
      </c>
      <c r="F230" s="265"/>
      <c r="G230" s="348">
        <f t="shared" si="10"/>
        <v>1800</v>
      </c>
      <c r="H230" s="359">
        <f>+G230/D230*100</f>
        <v>100</v>
      </c>
      <c r="I230" s="253" t="s">
        <v>331</v>
      </c>
      <c r="J230" s="298">
        <v>3600000</v>
      </c>
      <c r="K230" s="317" t="s">
        <v>148</v>
      </c>
      <c r="L230" s="318" t="s">
        <v>123</v>
      </c>
      <c r="M230" s="319">
        <v>1</v>
      </c>
      <c r="N230" s="319" t="s">
        <v>126</v>
      </c>
      <c r="O230" s="320" t="s">
        <v>138</v>
      </c>
      <c r="P230" s="298">
        <f t="shared" si="9"/>
        <v>3600000</v>
      </c>
      <c r="Q230" s="260" t="s">
        <v>148</v>
      </c>
    </row>
    <row r="231" spans="1:29" ht="17.45" customHeight="1">
      <c r="A231" s="165"/>
      <c r="B231" s="336"/>
      <c r="C231" s="350" t="s">
        <v>253</v>
      </c>
      <c r="D231" s="353">
        <v>12400</v>
      </c>
      <c r="E231" s="374">
        <f t="shared" si="6"/>
        <v>13600</v>
      </c>
      <c r="F231" s="264"/>
      <c r="G231" s="362">
        <f t="shared" si="10"/>
        <v>1200</v>
      </c>
      <c r="H231" s="363">
        <f>+G231/D231*100</f>
        <v>9.67741935483871</v>
      </c>
      <c r="I231" s="253" t="s">
        <v>420</v>
      </c>
      <c r="J231" s="298">
        <v>6800000</v>
      </c>
      <c r="K231" s="317" t="s">
        <v>148</v>
      </c>
      <c r="L231" s="318" t="s">
        <v>123</v>
      </c>
      <c r="M231" s="319">
        <v>2</v>
      </c>
      <c r="N231" s="319" t="s">
        <v>126</v>
      </c>
      <c r="O231" s="320" t="s">
        <v>138</v>
      </c>
      <c r="P231" s="298">
        <f t="shared" si="9"/>
        <v>13600000</v>
      </c>
      <c r="Q231" s="260" t="s">
        <v>148</v>
      </c>
    </row>
    <row r="232" spans="1:29" ht="17.45" customHeight="1">
      <c r="A232" s="165"/>
      <c r="B232" s="336"/>
      <c r="C232" s="380" t="s">
        <v>231</v>
      </c>
      <c r="D232" s="374">
        <v>3300</v>
      </c>
      <c r="E232" s="374">
        <f t="shared" si="6"/>
        <v>3960</v>
      </c>
      <c r="F232" s="252"/>
      <c r="G232" s="362">
        <f t="shared" si="10"/>
        <v>660</v>
      </c>
      <c r="H232" s="363">
        <f>G232/D232*100</f>
        <v>20</v>
      </c>
      <c r="I232" s="253" t="s">
        <v>331</v>
      </c>
      <c r="J232" s="298">
        <v>3960000</v>
      </c>
      <c r="K232" s="317" t="s">
        <v>148</v>
      </c>
      <c r="L232" s="318" t="s">
        <v>123</v>
      </c>
      <c r="M232" s="319">
        <v>1</v>
      </c>
      <c r="N232" s="319" t="s">
        <v>126</v>
      </c>
      <c r="O232" s="320" t="s">
        <v>138</v>
      </c>
      <c r="P232" s="298">
        <f t="shared" si="9"/>
        <v>3960000</v>
      </c>
      <c r="Q232" s="260" t="s">
        <v>148</v>
      </c>
    </row>
    <row r="233" spans="1:29" ht="17.45" customHeight="1">
      <c r="A233" s="217"/>
      <c r="B233" s="344"/>
      <c r="C233" s="351" t="s">
        <v>285</v>
      </c>
      <c r="D233" s="354">
        <v>1800</v>
      </c>
      <c r="E233" s="355">
        <f t="shared" si="6"/>
        <v>3240</v>
      </c>
      <c r="F233" s="354" t="e">
        <f>Q233/1000</f>
        <v>#VALUE!</v>
      </c>
      <c r="G233" s="348">
        <f t="shared" si="10"/>
        <v>1440</v>
      </c>
      <c r="H233" s="359">
        <f>G233/D233*100</f>
        <v>80</v>
      </c>
      <c r="I233" s="253" t="s">
        <v>331</v>
      </c>
      <c r="J233" s="298">
        <v>3240000</v>
      </c>
      <c r="K233" s="317" t="s">
        <v>148</v>
      </c>
      <c r="L233" s="318" t="s">
        <v>123</v>
      </c>
      <c r="M233" s="319">
        <v>1</v>
      </c>
      <c r="N233" s="319" t="s">
        <v>126</v>
      </c>
      <c r="O233" s="320" t="s">
        <v>138</v>
      </c>
      <c r="P233" s="298">
        <f t="shared" si="9"/>
        <v>3240000</v>
      </c>
      <c r="Q233" s="260" t="s">
        <v>148</v>
      </c>
    </row>
    <row r="234" spans="1:29" ht="17.45" customHeight="1">
      <c r="A234" s="165"/>
      <c r="B234" s="336"/>
      <c r="C234" s="350" t="s">
        <v>234</v>
      </c>
      <c r="D234" s="353">
        <v>12700</v>
      </c>
      <c r="E234" s="374">
        <f t="shared" si="6"/>
        <v>13600</v>
      </c>
      <c r="F234" s="353"/>
      <c r="G234" s="362">
        <f t="shared" si="10"/>
        <v>900</v>
      </c>
      <c r="H234" s="363">
        <f>G234/D234*100</f>
        <v>7.0866141732283463</v>
      </c>
      <c r="I234" s="253" t="s">
        <v>420</v>
      </c>
      <c r="J234" s="298">
        <v>6800000</v>
      </c>
      <c r="K234" s="317" t="s">
        <v>148</v>
      </c>
      <c r="L234" s="318" t="s">
        <v>123</v>
      </c>
      <c r="M234" s="319">
        <v>2</v>
      </c>
      <c r="N234" s="319" t="s">
        <v>126</v>
      </c>
      <c r="O234" s="320" t="s">
        <v>138</v>
      </c>
      <c r="P234" s="298">
        <f t="shared" si="9"/>
        <v>13600000</v>
      </c>
      <c r="Q234" s="260" t="s">
        <v>148</v>
      </c>
    </row>
    <row r="235" spans="1:29" ht="17.45" customHeight="1">
      <c r="A235" s="242"/>
      <c r="B235" s="243"/>
      <c r="C235" s="259" t="s">
        <v>20</v>
      </c>
      <c r="D235" s="353">
        <v>2100</v>
      </c>
      <c r="E235" s="374">
        <f t="shared" ref="E235:E242" si="12">P235/1000</f>
        <v>2160</v>
      </c>
      <c r="F235" s="252"/>
      <c r="G235" s="362">
        <f t="shared" ref="G235:G242" si="13">+E235-D235</f>
        <v>60</v>
      </c>
      <c r="H235" s="363">
        <f>G235/D235*100</f>
        <v>2.8571428571428572</v>
      </c>
      <c r="I235" s="253" t="s">
        <v>331</v>
      </c>
      <c r="J235" s="298">
        <v>2160000</v>
      </c>
      <c r="K235" s="317" t="s">
        <v>148</v>
      </c>
      <c r="L235" s="318" t="s">
        <v>123</v>
      </c>
      <c r="M235" s="319">
        <v>1</v>
      </c>
      <c r="N235" s="319" t="s">
        <v>126</v>
      </c>
      <c r="O235" s="320" t="s">
        <v>138</v>
      </c>
      <c r="P235" s="298">
        <f t="shared" si="9"/>
        <v>2160000</v>
      </c>
      <c r="Q235" s="260" t="s">
        <v>148</v>
      </c>
      <c r="R235" s="106" t="s">
        <v>305</v>
      </c>
      <c r="S235" s="106" t="s">
        <v>305</v>
      </c>
      <c r="T235" s="106" t="s">
        <v>305</v>
      </c>
      <c r="U235" s="106" t="s">
        <v>305</v>
      </c>
      <c r="V235" s="106" t="s">
        <v>305</v>
      </c>
      <c r="W235" s="106" t="s">
        <v>305</v>
      </c>
      <c r="X235" s="106" t="s">
        <v>305</v>
      </c>
      <c r="Y235" s="106" t="s">
        <v>305</v>
      </c>
      <c r="Z235" s="106" t="s">
        <v>305</v>
      </c>
      <c r="AA235" s="106" t="s">
        <v>305</v>
      </c>
      <c r="AB235" s="106" t="s">
        <v>305</v>
      </c>
      <c r="AC235" s="106"/>
    </row>
    <row r="236" spans="1:29" ht="17.45" customHeight="1">
      <c r="A236" s="165"/>
      <c r="B236" s="336"/>
      <c r="C236" s="351" t="s">
        <v>276</v>
      </c>
      <c r="D236" s="353">
        <v>1200</v>
      </c>
      <c r="E236" s="355">
        <f t="shared" si="12"/>
        <v>2520</v>
      </c>
      <c r="F236" s="265"/>
      <c r="G236" s="348">
        <f t="shared" si="13"/>
        <v>1320</v>
      </c>
      <c r="H236" s="359">
        <f>+G236/D236*100</f>
        <v>110.00000000000001</v>
      </c>
      <c r="I236" s="253" t="s">
        <v>331</v>
      </c>
      <c r="J236" s="298">
        <v>2520000</v>
      </c>
      <c r="K236" s="317" t="s">
        <v>148</v>
      </c>
      <c r="L236" s="318" t="s">
        <v>123</v>
      </c>
      <c r="M236" s="319">
        <v>1</v>
      </c>
      <c r="N236" s="319" t="s">
        <v>126</v>
      </c>
      <c r="O236" s="320" t="s">
        <v>138</v>
      </c>
      <c r="P236" s="298">
        <f t="shared" si="9"/>
        <v>2520000</v>
      </c>
      <c r="Q236" s="260" t="s">
        <v>148</v>
      </c>
    </row>
    <row r="237" spans="1:29" ht="17.45" customHeight="1">
      <c r="A237" s="165"/>
      <c r="B237" s="336"/>
      <c r="C237" s="376" t="s">
        <v>22</v>
      </c>
      <c r="D237" s="353">
        <v>11003.7</v>
      </c>
      <c r="E237" s="374">
        <f t="shared" si="12"/>
        <v>11243.7</v>
      </c>
      <c r="F237" s="264"/>
      <c r="G237" s="362">
        <f t="shared" si="13"/>
        <v>240</v>
      </c>
      <c r="H237" s="359">
        <f>+G237/D237*100</f>
        <v>2.1810845442896478</v>
      </c>
      <c r="I237" s="253" t="s">
        <v>420</v>
      </c>
      <c r="J237" s="298">
        <v>5621850</v>
      </c>
      <c r="K237" s="317" t="s">
        <v>148</v>
      </c>
      <c r="L237" s="318" t="s">
        <v>123</v>
      </c>
      <c r="M237" s="319">
        <v>2</v>
      </c>
      <c r="N237" s="319" t="s">
        <v>126</v>
      </c>
      <c r="O237" s="320" t="s">
        <v>138</v>
      </c>
      <c r="P237" s="298">
        <f t="shared" si="9"/>
        <v>11243700</v>
      </c>
      <c r="Q237" s="260" t="s">
        <v>148</v>
      </c>
    </row>
    <row r="238" spans="1:29" ht="17.45" customHeight="1">
      <c r="A238" s="165"/>
      <c r="B238" s="336"/>
      <c r="C238" s="350" t="s">
        <v>189</v>
      </c>
      <c r="D238" s="353">
        <v>3000</v>
      </c>
      <c r="E238" s="374">
        <f t="shared" si="12"/>
        <v>3960</v>
      </c>
      <c r="F238" s="252"/>
      <c r="G238" s="362">
        <f t="shared" si="13"/>
        <v>960</v>
      </c>
      <c r="H238" s="359">
        <f>+G238/D238*100</f>
        <v>32</v>
      </c>
      <c r="I238" s="253" t="s">
        <v>331</v>
      </c>
      <c r="J238" s="298">
        <v>3960000</v>
      </c>
      <c r="K238" s="317" t="s">
        <v>148</v>
      </c>
      <c r="L238" s="318" t="s">
        <v>123</v>
      </c>
      <c r="M238" s="319">
        <v>1</v>
      </c>
      <c r="N238" s="319" t="s">
        <v>126</v>
      </c>
      <c r="O238" s="320" t="s">
        <v>138</v>
      </c>
      <c r="P238" s="298">
        <f t="shared" si="9"/>
        <v>3960000</v>
      </c>
      <c r="Q238" s="260" t="s">
        <v>148</v>
      </c>
    </row>
    <row r="239" spans="1:29" ht="17.45" customHeight="1">
      <c r="A239" s="165"/>
      <c r="B239" s="336"/>
      <c r="C239" s="350" t="s">
        <v>217</v>
      </c>
      <c r="D239" s="353">
        <v>1800</v>
      </c>
      <c r="E239" s="374">
        <f t="shared" si="12"/>
        <v>3600</v>
      </c>
      <c r="F239" s="264"/>
      <c r="G239" s="362">
        <f t="shared" si="13"/>
        <v>1800</v>
      </c>
      <c r="H239" s="359">
        <f>+G239/D239*100</f>
        <v>100</v>
      </c>
      <c r="I239" s="253" t="s">
        <v>331</v>
      </c>
      <c r="J239" s="298">
        <v>3600000</v>
      </c>
      <c r="K239" s="317" t="s">
        <v>148</v>
      </c>
      <c r="L239" s="318" t="s">
        <v>123</v>
      </c>
      <c r="M239" s="319">
        <v>1</v>
      </c>
      <c r="N239" s="319" t="s">
        <v>126</v>
      </c>
      <c r="O239" s="320" t="s">
        <v>138</v>
      </c>
      <c r="P239" s="298">
        <f t="shared" si="9"/>
        <v>3600000</v>
      </c>
      <c r="Q239" s="260" t="s">
        <v>148</v>
      </c>
    </row>
    <row r="240" spans="1:29" ht="17.45" customHeight="1">
      <c r="A240" s="165"/>
      <c r="B240" s="336"/>
      <c r="C240" s="350" t="s">
        <v>259</v>
      </c>
      <c r="D240" s="353">
        <v>1500</v>
      </c>
      <c r="E240" s="374">
        <f t="shared" si="12"/>
        <v>3240</v>
      </c>
      <c r="F240" s="264"/>
      <c r="G240" s="362">
        <f t="shared" si="13"/>
        <v>1740</v>
      </c>
      <c r="H240" s="363">
        <f>G240/D240*100</f>
        <v>115.99999999999999</v>
      </c>
      <c r="I240" s="253" t="s">
        <v>331</v>
      </c>
      <c r="J240" s="298">
        <v>3240000</v>
      </c>
      <c r="K240" s="317" t="s">
        <v>148</v>
      </c>
      <c r="L240" s="318" t="s">
        <v>123</v>
      </c>
      <c r="M240" s="319">
        <v>1</v>
      </c>
      <c r="N240" s="319" t="s">
        <v>126</v>
      </c>
      <c r="O240" s="320" t="s">
        <v>138</v>
      </c>
      <c r="P240" s="298">
        <f t="shared" si="9"/>
        <v>3240000</v>
      </c>
      <c r="Q240" s="260" t="s">
        <v>148</v>
      </c>
    </row>
    <row r="241" spans="1:17" ht="17.45" customHeight="1">
      <c r="A241" s="165"/>
      <c r="B241" s="336"/>
      <c r="C241" s="380" t="s">
        <v>273</v>
      </c>
      <c r="D241" s="353">
        <v>1800</v>
      </c>
      <c r="E241" s="374">
        <f t="shared" si="12"/>
        <v>3600</v>
      </c>
      <c r="F241" s="252"/>
      <c r="G241" s="362">
        <f t="shared" si="13"/>
        <v>1800</v>
      </c>
      <c r="H241" s="363">
        <f>G241/D241*100</f>
        <v>100</v>
      </c>
      <c r="I241" s="263" t="s">
        <v>331</v>
      </c>
      <c r="J241" s="298">
        <v>3600000</v>
      </c>
      <c r="K241" s="317" t="s">
        <v>148</v>
      </c>
      <c r="L241" s="318" t="s">
        <v>123</v>
      </c>
      <c r="M241" s="319">
        <v>1</v>
      </c>
      <c r="N241" s="319" t="s">
        <v>126</v>
      </c>
      <c r="O241" s="320" t="s">
        <v>138</v>
      </c>
      <c r="P241" s="298">
        <f t="shared" si="9"/>
        <v>3600000</v>
      </c>
      <c r="Q241" s="260" t="s">
        <v>148</v>
      </c>
    </row>
    <row r="242" spans="1:17" ht="17.45" customHeight="1">
      <c r="A242" s="165"/>
      <c r="B242" s="336"/>
      <c r="C242" s="382" t="s">
        <v>16</v>
      </c>
      <c r="D242" s="353">
        <v>3600</v>
      </c>
      <c r="E242" s="374">
        <f t="shared" si="12"/>
        <v>3960</v>
      </c>
      <c r="F242" s="261"/>
      <c r="G242" s="362">
        <f t="shared" si="13"/>
        <v>360</v>
      </c>
      <c r="H242" s="363">
        <f>G242/D242*100</f>
        <v>10</v>
      </c>
      <c r="I242" s="253" t="s">
        <v>331</v>
      </c>
      <c r="J242" s="298">
        <v>3960000</v>
      </c>
      <c r="K242" s="317" t="s">
        <v>148</v>
      </c>
      <c r="L242" s="318" t="s">
        <v>123</v>
      </c>
      <c r="M242" s="319">
        <v>1</v>
      </c>
      <c r="N242" s="319" t="s">
        <v>126</v>
      </c>
      <c r="O242" s="320" t="s">
        <v>138</v>
      </c>
      <c r="P242" s="298">
        <f t="shared" si="9"/>
        <v>3960000</v>
      </c>
      <c r="Q242" s="260" t="s">
        <v>148</v>
      </c>
    </row>
    <row r="243" spans="1:17" ht="17.45" customHeight="1">
      <c r="A243" s="165"/>
      <c r="B243" s="336"/>
      <c r="C243" s="259" t="s">
        <v>64</v>
      </c>
      <c r="D243" s="374">
        <v>5000</v>
      </c>
      <c r="E243" s="374">
        <f t="shared" ref="E243:E251" si="14">P243/1000</f>
        <v>2500</v>
      </c>
      <c r="F243" s="252"/>
      <c r="G243" s="362">
        <f t="shared" ref="G243:G252" si="15">+E243-D243</f>
        <v>-2500</v>
      </c>
      <c r="H243" s="363">
        <f t="shared" ref="H243:H251" si="16">+G243/D243*100</f>
        <v>-50</v>
      </c>
      <c r="I243" s="253" t="s">
        <v>331</v>
      </c>
      <c r="J243" s="298">
        <v>2500000</v>
      </c>
      <c r="K243" s="317" t="s">
        <v>148</v>
      </c>
      <c r="L243" s="318" t="s">
        <v>123</v>
      </c>
      <c r="M243" s="319">
        <v>1</v>
      </c>
      <c r="N243" s="319" t="s">
        <v>126</v>
      </c>
      <c r="O243" s="320" t="s">
        <v>138</v>
      </c>
      <c r="P243" s="298">
        <f t="shared" si="9"/>
        <v>2500000</v>
      </c>
      <c r="Q243" s="260" t="s">
        <v>148</v>
      </c>
    </row>
    <row r="244" spans="1:17" ht="17.45" customHeight="1">
      <c r="A244" s="217"/>
      <c r="B244" s="344"/>
      <c r="C244" s="380" t="s">
        <v>326</v>
      </c>
      <c r="D244" s="374">
        <v>2400</v>
      </c>
      <c r="E244" s="374">
        <f t="shared" si="14"/>
        <v>2400</v>
      </c>
      <c r="F244" s="252"/>
      <c r="G244" s="362">
        <f t="shared" si="15"/>
        <v>0</v>
      </c>
      <c r="H244" s="363">
        <f t="shared" si="16"/>
        <v>0</v>
      </c>
      <c r="I244" s="253" t="s">
        <v>331</v>
      </c>
      <c r="J244" s="298">
        <v>2400000</v>
      </c>
      <c r="K244" s="317" t="s">
        <v>148</v>
      </c>
      <c r="L244" s="318" t="s">
        <v>123</v>
      </c>
      <c r="M244" s="319">
        <v>1</v>
      </c>
      <c r="N244" s="319" t="s">
        <v>126</v>
      </c>
      <c r="O244" s="320" t="s">
        <v>138</v>
      </c>
      <c r="P244" s="298">
        <f t="shared" si="9"/>
        <v>2400000</v>
      </c>
      <c r="Q244" s="260" t="s">
        <v>148</v>
      </c>
    </row>
    <row r="245" spans="1:17" ht="17.45" customHeight="1">
      <c r="A245" s="217"/>
      <c r="B245" s="344"/>
      <c r="C245" s="266" t="s">
        <v>48</v>
      </c>
      <c r="D245" s="355">
        <v>91509.999960000016</v>
      </c>
      <c r="E245" s="355">
        <f t="shared" si="14"/>
        <v>89859.999960000016</v>
      </c>
      <c r="F245" s="261"/>
      <c r="G245" s="348">
        <f t="shared" si="15"/>
        <v>-1650</v>
      </c>
      <c r="H245" s="359">
        <f t="shared" si="16"/>
        <v>-1.8030816312110505</v>
      </c>
      <c r="I245" s="253" t="s">
        <v>331</v>
      </c>
      <c r="J245" s="298">
        <v>7488333.3300000001</v>
      </c>
      <c r="K245" s="317" t="s">
        <v>148</v>
      </c>
      <c r="L245" s="318" t="s">
        <v>123</v>
      </c>
      <c r="M245" s="319">
        <v>12</v>
      </c>
      <c r="N245" s="319" t="s">
        <v>126</v>
      </c>
      <c r="O245" s="320" t="s">
        <v>138</v>
      </c>
      <c r="P245" s="298">
        <f t="shared" si="9"/>
        <v>89859999.960000008</v>
      </c>
      <c r="Q245" s="260" t="s">
        <v>148</v>
      </c>
    </row>
    <row r="246" spans="1:17" ht="17.45" customHeight="1">
      <c r="A246" s="217"/>
      <c r="B246" s="344"/>
      <c r="C246" s="267" t="s">
        <v>53</v>
      </c>
      <c r="D246" s="355">
        <v>3000</v>
      </c>
      <c r="E246" s="355">
        <f t="shared" si="14"/>
        <v>3000</v>
      </c>
      <c r="F246" s="261"/>
      <c r="G246" s="348">
        <f t="shared" si="15"/>
        <v>0</v>
      </c>
      <c r="H246" s="359">
        <f t="shared" si="16"/>
        <v>0</v>
      </c>
      <c r="I246" s="253" t="s">
        <v>331</v>
      </c>
      <c r="J246" s="298">
        <v>3000000</v>
      </c>
      <c r="K246" s="317" t="s">
        <v>148</v>
      </c>
      <c r="L246" s="318" t="s">
        <v>123</v>
      </c>
      <c r="M246" s="319">
        <v>1</v>
      </c>
      <c r="N246" s="319" t="s">
        <v>126</v>
      </c>
      <c r="O246" s="320" t="s">
        <v>138</v>
      </c>
      <c r="P246" s="298">
        <f t="shared" si="9"/>
        <v>3000000</v>
      </c>
      <c r="Q246" s="260" t="s">
        <v>148</v>
      </c>
    </row>
    <row r="247" spans="1:17" ht="17.45" customHeight="1">
      <c r="A247" s="165"/>
      <c r="B247" s="336"/>
      <c r="C247" s="259" t="s">
        <v>428</v>
      </c>
      <c r="D247" s="374">
        <v>3000</v>
      </c>
      <c r="E247" s="374">
        <f t="shared" si="14"/>
        <v>3000</v>
      </c>
      <c r="F247" s="252"/>
      <c r="G247" s="362">
        <f t="shared" si="15"/>
        <v>0</v>
      </c>
      <c r="H247" s="363">
        <f t="shared" si="16"/>
        <v>0</v>
      </c>
      <c r="I247" s="253" t="s">
        <v>331</v>
      </c>
      <c r="J247" s="298">
        <v>3000000</v>
      </c>
      <c r="K247" s="317" t="s">
        <v>148</v>
      </c>
      <c r="L247" s="318" t="s">
        <v>123</v>
      </c>
      <c r="M247" s="319">
        <v>1</v>
      </c>
      <c r="N247" s="319" t="s">
        <v>126</v>
      </c>
      <c r="O247" s="320" t="s">
        <v>138</v>
      </c>
      <c r="P247" s="298">
        <f t="shared" si="9"/>
        <v>3000000</v>
      </c>
      <c r="Q247" s="260" t="s">
        <v>148</v>
      </c>
    </row>
    <row r="248" spans="1:17" ht="17.45" customHeight="1">
      <c r="A248" s="165"/>
      <c r="B248" s="336"/>
      <c r="C248" s="352" t="s">
        <v>228</v>
      </c>
      <c r="D248" s="355">
        <v>3600</v>
      </c>
      <c r="E248" s="355">
        <f t="shared" si="14"/>
        <v>3600</v>
      </c>
      <c r="F248" s="261"/>
      <c r="G248" s="348">
        <f t="shared" si="15"/>
        <v>0</v>
      </c>
      <c r="H248" s="359">
        <f t="shared" si="16"/>
        <v>0</v>
      </c>
      <c r="I248" s="253" t="s">
        <v>331</v>
      </c>
      <c r="J248" s="298">
        <v>3600000</v>
      </c>
      <c r="K248" s="317" t="s">
        <v>148</v>
      </c>
      <c r="L248" s="318" t="s">
        <v>123</v>
      </c>
      <c r="M248" s="319">
        <v>1</v>
      </c>
      <c r="N248" s="319" t="s">
        <v>126</v>
      </c>
      <c r="O248" s="320" t="s">
        <v>138</v>
      </c>
      <c r="P248" s="298">
        <f t="shared" si="9"/>
        <v>3600000</v>
      </c>
      <c r="Q248" s="260" t="s">
        <v>148</v>
      </c>
    </row>
    <row r="249" spans="1:17" ht="17.45" customHeight="1">
      <c r="A249" s="165"/>
      <c r="B249" s="336"/>
      <c r="C249" s="259" t="s">
        <v>409</v>
      </c>
      <c r="D249" s="374">
        <v>3000</v>
      </c>
      <c r="E249" s="374">
        <f t="shared" si="14"/>
        <v>3000</v>
      </c>
      <c r="F249" s="252"/>
      <c r="G249" s="362">
        <f t="shared" si="15"/>
        <v>0</v>
      </c>
      <c r="H249" s="363">
        <f t="shared" si="16"/>
        <v>0</v>
      </c>
      <c r="I249" s="253" t="s">
        <v>331</v>
      </c>
      <c r="J249" s="298">
        <v>3000000</v>
      </c>
      <c r="K249" s="317" t="s">
        <v>148</v>
      </c>
      <c r="L249" s="318" t="s">
        <v>123</v>
      </c>
      <c r="M249" s="319">
        <v>1</v>
      </c>
      <c r="N249" s="319" t="s">
        <v>126</v>
      </c>
      <c r="O249" s="320" t="s">
        <v>138</v>
      </c>
      <c r="P249" s="298">
        <f t="shared" si="9"/>
        <v>3000000</v>
      </c>
      <c r="Q249" s="260" t="s">
        <v>148</v>
      </c>
    </row>
    <row r="250" spans="1:17" ht="17.45" customHeight="1">
      <c r="A250" s="165"/>
      <c r="B250" s="336"/>
      <c r="C250" s="259" t="s">
        <v>8</v>
      </c>
      <c r="D250" s="374">
        <v>15000</v>
      </c>
      <c r="E250" s="374">
        <f t="shared" si="14"/>
        <v>16000</v>
      </c>
      <c r="F250" s="252"/>
      <c r="G250" s="362">
        <f t="shared" si="15"/>
        <v>1000</v>
      </c>
      <c r="H250" s="363">
        <f t="shared" si="16"/>
        <v>6.666666666666667</v>
      </c>
      <c r="I250" s="253" t="s">
        <v>420</v>
      </c>
      <c r="J250" s="298">
        <v>8000000</v>
      </c>
      <c r="K250" s="317" t="s">
        <v>148</v>
      </c>
      <c r="L250" s="318" t="s">
        <v>123</v>
      </c>
      <c r="M250" s="319">
        <v>2</v>
      </c>
      <c r="N250" s="319" t="s">
        <v>126</v>
      </c>
      <c r="O250" s="320" t="s">
        <v>138</v>
      </c>
      <c r="P250" s="298">
        <f t="shared" si="9"/>
        <v>16000000</v>
      </c>
      <c r="Q250" s="260" t="s">
        <v>148</v>
      </c>
    </row>
    <row r="251" spans="1:17" ht="17.45" customHeight="1">
      <c r="A251" s="217"/>
      <c r="B251" s="344"/>
      <c r="C251" s="352" t="s">
        <v>221</v>
      </c>
      <c r="D251" s="355">
        <v>2700</v>
      </c>
      <c r="E251" s="355">
        <f t="shared" si="14"/>
        <v>2700</v>
      </c>
      <c r="F251" s="261"/>
      <c r="G251" s="348">
        <f t="shared" si="15"/>
        <v>0</v>
      </c>
      <c r="H251" s="359">
        <f t="shared" si="16"/>
        <v>0</v>
      </c>
      <c r="I251" s="253" t="s">
        <v>331</v>
      </c>
      <c r="J251" s="298">
        <v>2700000</v>
      </c>
      <c r="K251" s="317" t="s">
        <v>148</v>
      </c>
      <c r="L251" s="318" t="s">
        <v>123</v>
      </c>
      <c r="M251" s="319">
        <v>1</v>
      </c>
      <c r="N251" s="319" t="s">
        <v>126</v>
      </c>
      <c r="O251" s="320" t="s">
        <v>138</v>
      </c>
      <c r="P251" s="298">
        <f t="shared" si="9"/>
        <v>2700000</v>
      </c>
      <c r="Q251" s="260" t="s">
        <v>148</v>
      </c>
    </row>
    <row r="252" spans="1:17" ht="17.45" customHeight="1">
      <c r="A252" s="217"/>
      <c r="B252" s="344"/>
      <c r="C252" s="380" t="s">
        <v>204</v>
      </c>
      <c r="D252" s="374">
        <v>2400</v>
      </c>
      <c r="E252" s="374">
        <f t="shared" ref="E252:E267" si="17">P252/1000</f>
        <v>2400</v>
      </c>
      <c r="F252" s="252"/>
      <c r="G252" s="362">
        <f t="shared" si="15"/>
        <v>0</v>
      </c>
      <c r="H252" s="363">
        <f t="shared" ref="H252:H260" si="18">+G252/D252*100</f>
        <v>0</v>
      </c>
      <c r="I252" s="253" t="s">
        <v>331</v>
      </c>
      <c r="J252" s="298">
        <v>2400000</v>
      </c>
      <c r="K252" s="317" t="s">
        <v>148</v>
      </c>
      <c r="L252" s="318" t="s">
        <v>123</v>
      </c>
      <c r="M252" s="319">
        <v>1</v>
      </c>
      <c r="N252" s="319" t="s">
        <v>126</v>
      </c>
      <c r="O252" s="320" t="s">
        <v>138</v>
      </c>
      <c r="P252" s="298">
        <f t="shared" si="9"/>
        <v>2400000</v>
      </c>
      <c r="Q252" s="260" t="s">
        <v>148</v>
      </c>
    </row>
    <row r="253" spans="1:17" ht="17.45" customHeight="1">
      <c r="A253" s="165"/>
      <c r="B253" s="336"/>
      <c r="C253" s="350" t="s">
        <v>321</v>
      </c>
      <c r="D253" s="353">
        <v>4800</v>
      </c>
      <c r="E253" s="374">
        <f>P253/1000</f>
        <v>6000</v>
      </c>
      <c r="F253" s="264"/>
      <c r="G253" s="362">
        <f>+E253-D253</f>
        <v>1200</v>
      </c>
      <c r="H253" s="363">
        <f>+G253/D253*100</f>
        <v>25</v>
      </c>
      <c r="I253" s="253" t="s">
        <v>331</v>
      </c>
      <c r="J253" s="298">
        <v>6000000</v>
      </c>
      <c r="K253" s="317" t="s">
        <v>148</v>
      </c>
      <c r="L253" s="318" t="s">
        <v>123</v>
      </c>
      <c r="M253" s="319">
        <v>1</v>
      </c>
      <c r="N253" s="319" t="s">
        <v>126</v>
      </c>
      <c r="O253" s="320" t="s">
        <v>138</v>
      </c>
      <c r="P253" s="298">
        <f>J253*M253</f>
        <v>6000000</v>
      </c>
      <c r="Q253" s="260" t="s">
        <v>148</v>
      </c>
    </row>
    <row r="254" spans="1:17" ht="17.45" customHeight="1">
      <c r="A254" s="217"/>
      <c r="B254" s="344"/>
      <c r="C254" s="376" t="s">
        <v>91</v>
      </c>
      <c r="D254" s="353">
        <v>15000</v>
      </c>
      <c r="E254" s="374">
        <f>P254/1000</f>
        <v>12600</v>
      </c>
      <c r="F254" s="264"/>
      <c r="G254" s="362">
        <f>+E254-D254</f>
        <v>-2400</v>
      </c>
      <c r="H254" s="363">
        <f t="shared" si="18"/>
        <v>-16</v>
      </c>
      <c r="I254" s="253" t="s">
        <v>420</v>
      </c>
      <c r="J254" s="298">
        <v>1050000</v>
      </c>
      <c r="K254" s="317" t="s">
        <v>148</v>
      </c>
      <c r="L254" s="318" t="s">
        <v>123</v>
      </c>
      <c r="M254" s="319">
        <v>12</v>
      </c>
      <c r="N254" s="319" t="s">
        <v>126</v>
      </c>
      <c r="O254" s="320" t="s">
        <v>138</v>
      </c>
      <c r="P254" s="298">
        <f>J254*M254</f>
        <v>12600000</v>
      </c>
      <c r="Q254" s="260" t="s">
        <v>148</v>
      </c>
    </row>
    <row r="255" spans="1:17" ht="17.45" customHeight="1">
      <c r="A255" s="165"/>
      <c r="B255" s="336"/>
      <c r="C255" s="376" t="s">
        <v>79</v>
      </c>
      <c r="D255" s="353">
        <v>600</v>
      </c>
      <c r="E255" s="374">
        <f t="shared" si="17"/>
        <v>720</v>
      </c>
      <c r="F255" s="264"/>
      <c r="G255" s="362">
        <f t="shared" ref="G255:G267" si="19">+E255-D255</f>
        <v>120</v>
      </c>
      <c r="H255" s="363">
        <f t="shared" si="18"/>
        <v>20</v>
      </c>
      <c r="I255" s="253" t="s">
        <v>331</v>
      </c>
      <c r="J255" s="298">
        <v>720000</v>
      </c>
      <c r="K255" s="317" t="s">
        <v>148</v>
      </c>
      <c r="L255" s="318" t="s">
        <v>123</v>
      </c>
      <c r="M255" s="319">
        <v>1</v>
      </c>
      <c r="N255" s="319" t="s">
        <v>126</v>
      </c>
      <c r="O255" s="320" t="s">
        <v>138</v>
      </c>
      <c r="P255" s="298">
        <f t="shared" si="9"/>
        <v>720000</v>
      </c>
      <c r="Q255" s="260" t="s">
        <v>148</v>
      </c>
    </row>
    <row r="256" spans="1:17" ht="17.45" customHeight="1">
      <c r="A256" s="165"/>
      <c r="B256" s="336"/>
      <c r="C256" s="259" t="s">
        <v>288</v>
      </c>
      <c r="D256" s="374">
        <v>1200</v>
      </c>
      <c r="E256" s="374">
        <f t="shared" si="17"/>
        <v>1440</v>
      </c>
      <c r="F256" s="264"/>
      <c r="G256" s="362">
        <f t="shared" si="19"/>
        <v>240</v>
      </c>
      <c r="H256" s="363">
        <f t="shared" si="18"/>
        <v>20</v>
      </c>
      <c r="I256" s="253" t="s">
        <v>331</v>
      </c>
      <c r="J256" s="298">
        <v>1440000</v>
      </c>
      <c r="K256" s="317" t="s">
        <v>148</v>
      </c>
      <c r="L256" s="318" t="s">
        <v>123</v>
      </c>
      <c r="M256" s="319">
        <v>1</v>
      </c>
      <c r="N256" s="319" t="s">
        <v>126</v>
      </c>
      <c r="O256" s="320" t="s">
        <v>138</v>
      </c>
      <c r="P256" s="298">
        <f t="shared" si="9"/>
        <v>1440000</v>
      </c>
      <c r="Q256" s="260" t="s">
        <v>148</v>
      </c>
    </row>
    <row r="257" spans="1:17" ht="17.45" customHeight="1">
      <c r="A257" s="217"/>
      <c r="B257" s="344"/>
      <c r="C257" s="259" t="s">
        <v>100</v>
      </c>
      <c r="D257" s="374">
        <v>5400</v>
      </c>
      <c r="E257" s="374">
        <f t="shared" si="17"/>
        <v>6480</v>
      </c>
      <c r="F257" s="252"/>
      <c r="G257" s="362">
        <f t="shared" si="19"/>
        <v>1080</v>
      </c>
      <c r="H257" s="359">
        <f t="shared" si="18"/>
        <v>20</v>
      </c>
      <c r="I257" s="253" t="s">
        <v>331</v>
      </c>
      <c r="J257" s="298">
        <v>3240000</v>
      </c>
      <c r="K257" s="317" t="s">
        <v>148</v>
      </c>
      <c r="L257" s="318" t="s">
        <v>123</v>
      </c>
      <c r="M257" s="319">
        <v>2</v>
      </c>
      <c r="N257" s="319" t="s">
        <v>126</v>
      </c>
      <c r="O257" s="320" t="s">
        <v>138</v>
      </c>
      <c r="P257" s="298">
        <f t="shared" si="9"/>
        <v>6480000</v>
      </c>
      <c r="Q257" s="260" t="s">
        <v>148</v>
      </c>
    </row>
    <row r="258" spans="1:17" ht="17.45" customHeight="1">
      <c r="A258" s="165"/>
      <c r="B258" s="336"/>
      <c r="C258" s="259" t="s">
        <v>37</v>
      </c>
      <c r="D258" s="374">
        <v>3400</v>
      </c>
      <c r="E258" s="374">
        <f t="shared" si="17"/>
        <v>3400</v>
      </c>
      <c r="F258" s="252"/>
      <c r="G258" s="362">
        <f t="shared" si="19"/>
        <v>0</v>
      </c>
      <c r="H258" s="359">
        <f t="shared" si="18"/>
        <v>0</v>
      </c>
      <c r="I258" s="253" t="s">
        <v>331</v>
      </c>
      <c r="J258" s="298">
        <v>850000</v>
      </c>
      <c r="K258" s="317" t="s">
        <v>148</v>
      </c>
      <c r="L258" s="318" t="s">
        <v>123</v>
      </c>
      <c r="M258" s="319">
        <v>4</v>
      </c>
      <c r="N258" s="319" t="s">
        <v>126</v>
      </c>
      <c r="O258" s="320" t="s">
        <v>138</v>
      </c>
      <c r="P258" s="298">
        <f t="shared" si="9"/>
        <v>3400000</v>
      </c>
      <c r="Q258" s="260" t="s">
        <v>148</v>
      </c>
    </row>
    <row r="259" spans="1:17" ht="17.45" customHeight="1">
      <c r="A259" s="165"/>
      <c r="B259" s="336"/>
      <c r="C259" s="268" t="s">
        <v>35</v>
      </c>
      <c r="D259" s="374">
        <v>4276.3</v>
      </c>
      <c r="E259" s="374">
        <f t="shared" si="17"/>
        <v>12956.82999</v>
      </c>
      <c r="F259" s="252"/>
      <c r="G259" s="362">
        <f t="shared" si="19"/>
        <v>8680.5299899999991</v>
      </c>
      <c r="H259" s="359">
        <f t="shared" si="18"/>
        <v>202.99160465823257</v>
      </c>
      <c r="I259" s="263" t="s">
        <v>420</v>
      </c>
      <c r="J259" s="305">
        <v>4318943.33</v>
      </c>
      <c r="K259" s="317" t="s">
        <v>148</v>
      </c>
      <c r="L259" s="318" t="s">
        <v>123</v>
      </c>
      <c r="M259" s="319">
        <v>3</v>
      </c>
      <c r="N259" s="319" t="s">
        <v>126</v>
      </c>
      <c r="O259" s="320" t="s">
        <v>138</v>
      </c>
      <c r="P259" s="298">
        <f t="shared" si="9"/>
        <v>12956829.99</v>
      </c>
      <c r="Q259" s="260" t="s">
        <v>148</v>
      </c>
    </row>
    <row r="260" spans="1:17" ht="17.45" customHeight="1">
      <c r="A260" s="165"/>
      <c r="B260" s="336"/>
      <c r="C260" s="268" t="s">
        <v>70</v>
      </c>
      <c r="D260" s="374">
        <v>300</v>
      </c>
      <c r="E260" s="374">
        <f t="shared" si="17"/>
        <v>1080</v>
      </c>
      <c r="F260" s="252"/>
      <c r="G260" s="362">
        <f t="shared" si="19"/>
        <v>780</v>
      </c>
      <c r="H260" s="359">
        <f t="shared" si="18"/>
        <v>260</v>
      </c>
      <c r="I260" s="272" t="s">
        <v>331</v>
      </c>
      <c r="J260" s="71">
        <v>1080000</v>
      </c>
      <c r="K260" s="273" t="s">
        <v>148</v>
      </c>
      <c r="L260" s="274" t="s">
        <v>123</v>
      </c>
      <c r="M260" s="275">
        <v>1</v>
      </c>
      <c r="N260" s="275" t="s">
        <v>126</v>
      </c>
      <c r="O260" s="276" t="s">
        <v>138</v>
      </c>
      <c r="P260" s="52">
        <f t="shared" si="9"/>
        <v>1080000</v>
      </c>
      <c r="Q260" s="262" t="s">
        <v>148</v>
      </c>
    </row>
    <row r="261" spans="1:17" ht="17.45" customHeight="1">
      <c r="A261" s="217" t="s">
        <v>463</v>
      </c>
      <c r="B261" s="344" t="s">
        <v>463</v>
      </c>
      <c r="C261" s="352" t="s">
        <v>324</v>
      </c>
      <c r="D261" s="355">
        <v>2825.2</v>
      </c>
      <c r="E261" s="355">
        <f t="shared" si="17"/>
        <v>2885.2</v>
      </c>
      <c r="F261" s="261"/>
      <c r="G261" s="348">
        <f t="shared" si="19"/>
        <v>60</v>
      </c>
      <c r="H261" s="359">
        <f t="shared" ref="H261:H266" si="20">G261/D261*100</f>
        <v>2.1237434517910239</v>
      </c>
      <c r="I261" s="253" t="s">
        <v>420</v>
      </c>
      <c r="J261" s="305">
        <v>1442600</v>
      </c>
      <c r="K261" s="317" t="s">
        <v>148</v>
      </c>
      <c r="L261" s="318" t="s">
        <v>123</v>
      </c>
      <c r="M261" s="319">
        <v>2</v>
      </c>
      <c r="N261" s="319" t="s">
        <v>126</v>
      </c>
      <c r="O261" s="320" t="s">
        <v>138</v>
      </c>
      <c r="P261" s="298">
        <f t="shared" si="9"/>
        <v>2885200</v>
      </c>
      <c r="Q261" s="260" t="s">
        <v>148</v>
      </c>
    </row>
    <row r="262" spans="1:17" ht="17.45" customHeight="1">
      <c r="A262" s="165"/>
      <c r="B262" s="336"/>
      <c r="C262" s="380" t="s">
        <v>208</v>
      </c>
      <c r="D262" s="374">
        <v>300</v>
      </c>
      <c r="E262" s="374">
        <f t="shared" si="17"/>
        <v>300</v>
      </c>
      <c r="F262" s="252"/>
      <c r="G262" s="362">
        <f t="shared" si="19"/>
        <v>0</v>
      </c>
      <c r="H262" s="363">
        <f t="shared" si="20"/>
        <v>0</v>
      </c>
      <c r="I262" s="253" t="s">
        <v>331</v>
      </c>
      <c r="J262" s="305">
        <v>300000</v>
      </c>
      <c r="K262" s="317" t="s">
        <v>148</v>
      </c>
      <c r="L262" s="318" t="s">
        <v>123</v>
      </c>
      <c r="M262" s="319">
        <v>1</v>
      </c>
      <c r="N262" s="319" t="s">
        <v>126</v>
      </c>
      <c r="O262" s="320" t="s">
        <v>138</v>
      </c>
      <c r="P262" s="298">
        <f t="shared" si="9"/>
        <v>300000</v>
      </c>
      <c r="Q262" s="260" t="s">
        <v>148</v>
      </c>
    </row>
    <row r="263" spans="1:17" ht="17.45" customHeight="1">
      <c r="A263" s="165"/>
      <c r="B263" s="336"/>
      <c r="C263" s="380" t="s">
        <v>291</v>
      </c>
      <c r="D263" s="374">
        <v>300</v>
      </c>
      <c r="E263" s="374">
        <f t="shared" si="17"/>
        <v>0</v>
      </c>
      <c r="F263" s="252"/>
      <c r="G263" s="362">
        <f t="shared" si="19"/>
        <v>-300</v>
      </c>
      <c r="H263" s="363">
        <f t="shared" si="20"/>
        <v>-100</v>
      </c>
      <c r="I263" s="253" t="s">
        <v>445</v>
      </c>
      <c r="J263" s="305">
        <v>0</v>
      </c>
      <c r="K263" s="317" t="s">
        <v>148</v>
      </c>
      <c r="L263" s="318" t="s">
        <v>123</v>
      </c>
      <c r="M263" s="319">
        <v>1</v>
      </c>
      <c r="N263" s="319" t="s">
        <v>126</v>
      </c>
      <c r="O263" s="320" t="s">
        <v>138</v>
      </c>
      <c r="P263" s="298">
        <f t="shared" si="9"/>
        <v>0</v>
      </c>
      <c r="Q263" s="260" t="s">
        <v>148</v>
      </c>
    </row>
    <row r="264" spans="1:17" ht="17.45" customHeight="1">
      <c r="A264" s="165"/>
      <c r="B264" s="336"/>
      <c r="C264" s="380" t="s">
        <v>337</v>
      </c>
      <c r="D264" s="374">
        <v>5000</v>
      </c>
      <c r="E264" s="374">
        <f t="shared" si="17"/>
        <v>6000</v>
      </c>
      <c r="F264" s="252"/>
      <c r="G264" s="362">
        <f t="shared" si="19"/>
        <v>1000</v>
      </c>
      <c r="H264" s="363">
        <f t="shared" si="20"/>
        <v>20</v>
      </c>
      <c r="I264" s="253" t="s">
        <v>331</v>
      </c>
      <c r="J264" s="305">
        <v>6000000</v>
      </c>
      <c r="K264" s="317" t="s">
        <v>148</v>
      </c>
      <c r="L264" s="318" t="s">
        <v>123</v>
      </c>
      <c r="M264" s="319">
        <v>1</v>
      </c>
      <c r="N264" s="319" t="s">
        <v>126</v>
      </c>
      <c r="O264" s="320" t="s">
        <v>138</v>
      </c>
      <c r="P264" s="298">
        <f t="shared" si="9"/>
        <v>6000000</v>
      </c>
      <c r="Q264" s="260" t="s">
        <v>148</v>
      </c>
    </row>
    <row r="265" spans="1:17" ht="17.45" customHeight="1">
      <c r="A265" s="165"/>
      <c r="B265" s="336"/>
      <c r="C265" s="259" t="s">
        <v>13</v>
      </c>
      <c r="D265" s="374">
        <v>300</v>
      </c>
      <c r="E265" s="374">
        <f t="shared" si="17"/>
        <v>720</v>
      </c>
      <c r="F265" s="252"/>
      <c r="G265" s="362">
        <f t="shared" si="19"/>
        <v>420</v>
      </c>
      <c r="H265" s="363">
        <f t="shared" si="20"/>
        <v>140</v>
      </c>
      <c r="I265" s="253" t="s">
        <v>331</v>
      </c>
      <c r="J265" s="305">
        <v>720000</v>
      </c>
      <c r="K265" s="317" t="s">
        <v>148</v>
      </c>
      <c r="L265" s="318" t="s">
        <v>123</v>
      </c>
      <c r="M265" s="319">
        <v>1</v>
      </c>
      <c r="N265" s="319" t="s">
        <v>126</v>
      </c>
      <c r="O265" s="320" t="s">
        <v>138</v>
      </c>
      <c r="P265" s="298">
        <f t="shared" si="9"/>
        <v>720000</v>
      </c>
      <c r="Q265" s="260" t="s">
        <v>148</v>
      </c>
    </row>
    <row r="266" spans="1:17" ht="17.45" customHeight="1">
      <c r="A266" s="165"/>
      <c r="B266" s="336"/>
      <c r="C266" s="259" t="s">
        <v>280</v>
      </c>
      <c r="D266" s="374">
        <v>1070</v>
      </c>
      <c r="E266" s="374">
        <f t="shared" si="17"/>
        <v>1130</v>
      </c>
      <c r="F266" s="252"/>
      <c r="G266" s="362">
        <f t="shared" si="19"/>
        <v>60</v>
      </c>
      <c r="H266" s="363">
        <f t="shared" si="20"/>
        <v>5.6074766355140184</v>
      </c>
      <c r="I266" s="253" t="s">
        <v>420</v>
      </c>
      <c r="J266" s="298">
        <v>565000</v>
      </c>
      <c r="K266" s="317" t="s">
        <v>148</v>
      </c>
      <c r="L266" s="318" t="s">
        <v>123</v>
      </c>
      <c r="M266" s="319">
        <v>2</v>
      </c>
      <c r="N266" s="319" t="s">
        <v>126</v>
      </c>
      <c r="O266" s="320" t="s">
        <v>138</v>
      </c>
      <c r="P266" s="298">
        <f t="shared" si="9"/>
        <v>1130000</v>
      </c>
      <c r="Q266" s="260" t="s">
        <v>148</v>
      </c>
    </row>
    <row r="267" spans="1:17" ht="17.45" customHeight="1">
      <c r="A267" s="165"/>
      <c r="B267" s="336"/>
      <c r="C267" s="259" t="s">
        <v>58</v>
      </c>
      <c r="D267" s="374">
        <v>3900</v>
      </c>
      <c r="E267" s="374">
        <f t="shared" si="17"/>
        <v>4020</v>
      </c>
      <c r="F267" s="252"/>
      <c r="G267" s="362">
        <f t="shared" si="19"/>
        <v>120</v>
      </c>
      <c r="H267" s="363">
        <f>+G267/D267*100</f>
        <v>3.0769230769230771</v>
      </c>
      <c r="I267" s="253" t="s">
        <v>420</v>
      </c>
      <c r="J267" s="298">
        <v>2010000</v>
      </c>
      <c r="K267" s="317" t="s">
        <v>148</v>
      </c>
      <c r="L267" s="318" t="s">
        <v>123</v>
      </c>
      <c r="M267" s="319">
        <v>2</v>
      </c>
      <c r="N267" s="319" t="s">
        <v>126</v>
      </c>
      <c r="O267" s="320" t="s">
        <v>138</v>
      </c>
      <c r="P267" s="298">
        <f t="shared" si="9"/>
        <v>4020000</v>
      </c>
      <c r="Q267" s="260" t="s">
        <v>148</v>
      </c>
    </row>
    <row r="268" spans="1:17" ht="17.45" customHeight="1">
      <c r="A268" s="165"/>
      <c r="B268" s="336"/>
      <c r="C268" s="268" t="s">
        <v>55</v>
      </c>
      <c r="D268" s="374">
        <v>1800</v>
      </c>
      <c r="E268" s="374">
        <f t="shared" ref="E268:E273" si="21">P268/1000</f>
        <v>11031.48</v>
      </c>
      <c r="F268" s="252"/>
      <c r="G268" s="362">
        <f t="shared" ref="G268:G281" si="22">+E268-D268</f>
        <v>9231.48</v>
      </c>
      <c r="H268" s="363">
        <f>+G268/D268*100</f>
        <v>512.86</v>
      </c>
      <c r="I268" s="263" t="s">
        <v>446</v>
      </c>
      <c r="J268" s="298">
        <v>5515740</v>
      </c>
      <c r="K268" s="317" t="s">
        <v>148</v>
      </c>
      <c r="L268" s="318" t="s">
        <v>123</v>
      </c>
      <c r="M268" s="319">
        <v>2</v>
      </c>
      <c r="N268" s="319" t="s">
        <v>126</v>
      </c>
      <c r="O268" s="320" t="s">
        <v>138</v>
      </c>
      <c r="P268" s="298">
        <f t="shared" si="9"/>
        <v>11031480</v>
      </c>
      <c r="Q268" s="260" t="s">
        <v>148</v>
      </c>
    </row>
    <row r="269" spans="1:17" ht="17.45" customHeight="1">
      <c r="A269" s="217"/>
      <c r="B269" s="344"/>
      <c r="C269" s="382" t="s">
        <v>15</v>
      </c>
      <c r="D269" s="355">
        <v>2464.5</v>
      </c>
      <c r="E269" s="355">
        <f t="shared" si="21"/>
        <v>2704.5</v>
      </c>
      <c r="F269" s="261"/>
      <c r="G269" s="348">
        <f t="shared" si="22"/>
        <v>240</v>
      </c>
      <c r="H269" s="359">
        <f>+G269/D269*100</f>
        <v>9.7382836275106506</v>
      </c>
      <c r="I269" s="263" t="s">
        <v>420</v>
      </c>
      <c r="J269" s="298">
        <v>1352250</v>
      </c>
      <c r="K269" s="317" t="s">
        <v>148</v>
      </c>
      <c r="L269" s="318" t="s">
        <v>123</v>
      </c>
      <c r="M269" s="319">
        <v>2</v>
      </c>
      <c r="N269" s="319" t="s">
        <v>126</v>
      </c>
      <c r="O269" s="320" t="s">
        <v>138</v>
      </c>
      <c r="P269" s="298">
        <f t="shared" si="9"/>
        <v>2704500</v>
      </c>
      <c r="Q269" s="260" t="s">
        <v>148</v>
      </c>
    </row>
    <row r="270" spans="1:17" ht="17.45" customHeight="1">
      <c r="A270" s="217"/>
      <c r="B270" s="344"/>
      <c r="C270" s="382" t="s">
        <v>17</v>
      </c>
      <c r="D270" s="355">
        <v>9460</v>
      </c>
      <c r="E270" s="355">
        <f t="shared" si="21"/>
        <v>9520</v>
      </c>
      <c r="F270" s="261"/>
      <c r="G270" s="348">
        <f t="shared" si="22"/>
        <v>60</v>
      </c>
      <c r="H270" s="359">
        <f>+G270/D270*100</f>
        <v>0.63424947145877375</v>
      </c>
      <c r="I270" s="253" t="s">
        <v>420</v>
      </c>
      <c r="J270" s="298">
        <v>4760000</v>
      </c>
      <c r="K270" s="317" t="s">
        <v>148</v>
      </c>
      <c r="L270" s="318" t="s">
        <v>123</v>
      </c>
      <c r="M270" s="319">
        <v>2</v>
      </c>
      <c r="N270" s="319" t="s">
        <v>126</v>
      </c>
      <c r="O270" s="320" t="s">
        <v>138</v>
      </c>
      <c r="P270" s="298">
        <f t="shared" si="9"/>
        <v>9520000</v>
      </c>
      <c r="Q270" s="260" t="s">
        <v>148</v>
      </c>
    </row>
    <row r="271" spans="1:17" ht="17.45" customHeight="1">
      <c r="A271" s="217"/>
      <c r="B271" s="344"/>
      <c r="C271" s="269" t="s">
        <v>43</v>
      </c>
      <c r="D271" s="354">
        <v>1500</v>
      </c>
      <c r="E271" s="355">
        <f t="shared" si="21"/>
        <v>6780</v>
      </c>
      <c r="F271" s="265"/>
      <c r="G271" s="348">
        <f t="shared" si="22"/>
        <v>5280</v>
      </c>
      <c r="H271" s="359">
        <f>G271/D271*100</f>
        <v>352</v>
      </c>
      <c r="I271" s="253" t="s">
        <v>420</v>
      </c>
      <c r="J271" s="298">
        <v>3390000</v>
      </c>
      <c r="K271" s="317" t="s">
        <v>148</v>
      </c>
      <c r="L271" s="318" t="s">
        <v>123</v>
      </c>
      <c r="M271" s="319">
        <v>2</v>
      </c>
      <c r="N271" s="319" t="s">
        <v>126</v>
      </c>
      <c r="O271" s="320" t="s">
        <v>138</v>
      </c>
      <c r="P271" s="298">
        <f t="shared" ref="P271:P300" si="23">J271*M271</f>
        <v>6780000</v>
      </c>
      <c r="Q271" s="260" t="s">
        <v>148</v>
      </c>
    </row>
    <row r="272" spans="1:17" ht="17.45" customHeight="1">
      <c r="A272" s="217"/>
      <c r="B272" s="344"/>
      <c r="C272" s="268" t="s">
        <v>314</v>
      </c>
      <c r="D272" s="374">
        <v>1200</v>
      </c>
      <c r="E272" s="374">
        <f t="shared" si="21"/>
        <v>1440</v>
      </c>
      <c r="F272" s="252"/>
      <c r="G272" s="362">
        <f t="shared" si="22"/>
        <v>240</v>
      </c>
      <c r="H272" s="363">
        <f>G272/D272*100</f>
        <v>20</v>
      </c>
      <c r="I272" s="253" t="s">
        <v>331</v>
      </c>
      <c r="J272" s="298">
        <v>1440000</v>
      </c>
      <c r="K272" s="317" t="s">
        <v>148</v>
      </c>
      <c r="L272" s="318" t="s">
        <v>123</v>
      </c>
      <c r="M272" s="319">
        <v>1</v>
      </c>
      <c r="N272" s="319" t="s">
        <v>126</v>
      </c>
      <c r="O272" s="320" t="s">
        <v>138</v>
      </c>
      <c r="P272" s="298">
        <f t="shared" si="23"/>
        <v>1440000</v>
      </c>
      <c r="Q272" s="260" t="s">
        <v>148</v>
      </c>
    </row>
    <row r="273" spans="1:17" ht="17.45" customHeight="1">
      <c r="A273" s="217"/>
      <c r="B273" s="344"/>
      <c r="C273" s="377" t="s">
        <v>47</v>
      </c>
      <c r="D273" s="354">
        <v>1800</v>
      </c>
      <c r="E273" s="355">
        <f t="shared" si="21"/>
        <v>1800</v>
      </c>
      <c r="F273" s="265"/>
      <c r="G273" s="348">
        <f t="shared" si="22"/>
        <v>0</v>
      </c>
      <c r="H273" s="359">
        <f t="shared" ref="H273:H278" si="24">+G273/D273*100</f>
        <v>0</v>
      </c>
      <c r="I273" s="263" t="s">
        <v>331</v>
      </c>
      <c r="J273" s="298">
        <v>1800000</v>
      </c>
      <c r="K273" s="317" t="s">
        <v>148</v>
      </c>
      <c r="L273" s="318" t="s">
        <v>123</v>
      </c>
      <c r="M273" s="319">
        <v>1</v>
      </c>
      <c r="N273" s="319" t="s">
        <v>126</v>
      </c>
      <c r="O273" s="320" t="s">
        <v>138</v>
      </c>
      <c r="P273" s="298">
        <f t="shared" si="23"/>
        <v>1800000</v>
      </c>
      <c r="Q273" s="260" t="s">
        <v>148</v>
      </c>
    </row>
    <row r="274" spans="1:17" ht="17.45" customHeight="1">
      <c r="A274" s="217"/>
      <c r="B274" s="344"/>
      <c r="C274" s="350" t="s">
        <v>295</v>
      </c>
      <c r="D274" s="353">
        <v>1200</v>
      </c>
      <c r="E274" s="374">
        <f t="shared" ref="E274:E283" si="25">P274/1000</f>
        <v>1440</v>
      </c>
      <c r="F274" s="264"/>
      <c r="G274" s="362">
        <f t="shared" si="22"/>
        <v>240</v>
      </c>
      <c r="H274" s="363">
        <f t="shared" si="24"/>
        <v>20</v>
      </c>
      <c r="I274" s="253" t="s">
        <v>331</v>
      </c>
      <c r="J274" s="298">
        <v>1440000</v>
      </c>
      <c r="K274" s="317" t="s">
        <v>148</v>
      </c>
      <c r="L274" s="318" t="s">
        <v>123</v>
      </c>
      <c r="M274" s="319">
        <v>1</v>
      </c>
      <c r="N274" s="319" t="s">
        <v>126</v>
      </c>
      <c r="O274" s="320" t="s">
        <v>138</v>
      </c>
      <c r="P274" s="298">
        <f t="shared" si="23"/>
        <v>1440000</v>
      </c>
      <c r="Q274" s="260" t="s">
        <v>148</v>
      </c>
    </row>
    <row r="275" spans="1:17" ht="17.45" customHeight="1">
      <c r="A275" s="217"/>
      <c r="B275" s="344"/>
      <c r="C275" s="350" t="s">
        <v>306</v>
      </c>
      <c r="D275" s="270">
        <v>2000</v>
      </c>
      <c r="E275" s="374">
        <f t="shared" si="25"/>
        <v>3000</v>
      </c>
      <c r="F275" s="264"/>
      <c r="G275" s="362">
        <f t="shared" si="22"/>
        <v>1000</v>
      </c>
      <c r="H275" s="363">
        <f t="shared" si="24"/>
        <v>50</v>
      </c>
      <c r="I275" s="253" t="s">
        <v>331</v>
      </c>
      <c r="J275" s="298">
        <v>750000</v>
      </c>
      <c r="K275" s="317" t="s">
        <v>148</v>
      </c>
      <c r="L275" s="318" t="s">
        <v>123</v>
      </c>
      <c r="M275" s="319">
        <v>4</v>
      </c>
      <c r="N275" s="319" t="s">
        <v>126</v>
      </c>
      <c r="O275" s="320" t="s">
        <v>138</v>
      </c>
      <c r="P275" s="298">
        <f>J275*M275</f>
        <v>3000000</v>
      </c>
      <c r="Q275" s="260" t="s">
        <v>148</v>
      </c>
    </row>
    <row r="276" spans="1:17" ht="17.45" customHeight="1">
      <c r="A276" s="217"/>
      <c r="B276" s="344"/>
      <c r="C276" s="259" t="s">
        <v>104</v>
      </c>
      <c r="D276" s="374">
        <v>300</v>
      </c>
      <c r="E276" s="374">
        <f t="shared" si="25"/>
        <v>690</v>
      </c>
      <c r="F276" s="252"/>
      <c r="G276" s="362">
        <f t="shared" si="22"/>
        <v>390</v>
      </c>
      <c r="H276" s="363">
        <f t="shared" si="24"/>
        <v>130</v>
      </c>
      <c r="I276" s="263" t="s">
        <v>331</v>
      </c>
      <c r="J276" s="298">
        <v>690000</v>
      </c>
      <c r="K276" s="317" t="s">
        <v>148</v>
      </c>
      <c r="L276" s="318" t="s">
        <v>123</v>
      </c>
      <c r="M276" s="319">
        <v>1</v>
      </c>
      <c r="N276" s="319" t="s">
        <v>126</v>
      </c>
      <c r="O276" s="320" t="s">
        <v>138</v>
      </c>
      <c r="P276" s="298">
        <f t="shared" si="23"/>
        <v>690000</v>
      </c>
      <c r="Q276" s="260" t="s">
        <v>148</v>
      </c>
    </row>
    <row r="277" spans="1:17" ht="17.45" customHeight="1">
      <c r="A277" s="217"/>
      <c r="B277" s="344"/>
      <c r="C277" s="352" t="s">
        <v>315</v>
      </c>
      <c r="D277" s="355">
        <v>10000</v>
      </c>
      <c r="E277" s="355">
        <f t="shared" si="25"/>
        <v>10000</v>
      </c>
      <c r="F277" s="261"/>
      <c r="G277" s="348">
        <f t="shared" si="22"/>
        <v>0</v>
      </c>
      <c r="H277" s="359">
        <f t="shared" si="24"/>
        <v>0</v>
      </c>
      <c r="I277" s="263" t="s">
        <v>331</v>
      </c>
      <c r="J277" s="298">
        <v>2500000</v>
      </c>
      <c r="K277" s="317" t="s">
        <v>148</v>
      </c>
      <c r="L277" s="318" t="s">
        <v>123</v>
      </c>
      <c r="M277" s="319">
        <v>4</v>
      </c>
      <c r="N277" s="319" t="s">
        <v>126</v>
      </c>
      <c r="O277" s="320" t="s">
        <v>138</v>
      </c>
      <c r="P277" s="298">
        <f t="shared" si="23"/>
        <v>10000000</v>
      </c>
      <c r="Q277" s="260" t="s">
        <v>148</v>
      </c>
    </row>
    <row r="278" spans="1:17" ht="17.45" customHeight="1">
      <c r="A278" s="165"/>
      <c r="B278" s="336"/>
      <c r="C278" s="382" t="s">
        <v>1</v>
      </c>
      <c r="D278" s="355">
        <v>5000</v>
      </c>
      <c r="E278" s="355">
        <f t="shared" si="25"/>
        <v>6880.15</v>
      </c>
      <c r="F278" s="261"/>
      <c r="G278" s="348">
        <f t="shared" si="22"/>
        <v>1880.1499999999996</v>
      </c>
      <c r="H278" s="359">
        <f t="shared" si="24"/>
        <v>37.602999999999994</v>
      </c>
      <c r="I278" s="263" t="s">
        <v>446</v>
      </c>
      <c r="J278" s="298">
        <v>3440075</v>
      </c>
      <c r="K278" s="317" t="s">
        <v>148</v>
      </c>
      <c r="L278" s="318" t="s">
        <v>123</v>
      </c>
      <c r="M278" s="319">
        <v>2</v>
      </c>
      <c r="N278" s="319" t="s">
        <v>126</v>
      </c>
      <c r="O278" s="320" t="s">
        <v>138</v>
      </c>
      <c r="P278" s="298">
        <f t="shared" si="23"/>
        <v>6880150</v>
      </c>
      <c r="Q278" s="260" t="s">
        <v>148</v>
      </c>
    </row>
    <row r="279" spans="1:17" ht="17.45" customHeight="1">
      <c r="A279" s="217"/>
      <c r="B279" s="344"/>
      <c r="C279" s="351" t="s">
        <v>318</v>
      </c>
      <c r="D279" s="354">
        <v>1500</v>
      </c>
      <c r="E279" s="355">
        <f t="shared" si="25"/>
        <v>10601.44</v>
      </c>
      <c r="F279" s="265"/>
      <c r="G279" s="348">
        <f t="shared" si="22"/>
        <v>9101.44</v>
      </c>
      <c r="H279" s="359">
        <f>G279/D279*100</f>
        <v>606.76266666666675</v>
      </c>
      <c r="I279" s="263" t="s">
        <v>446</v>
      </c>
      <c r="J279" s="298">
        <v>5300720</v>
      </c>
      <c r="K279" s="317" t="s">
        <v>148</v>
      </c>
      <c r="L279" s="318" t="s">
        <v>123</v>
      </c>
      <c r="M279" s="319">
        <v>2</v>
      </c>
      <c r="N279" s="319" t="s">
        <v>126</v>
      </c>
      <c r="O279" s="320" t="s">
        <v>138</v>
      </c>
      <c r="P279" s="298">
        <f t="shared" si="23"/>
        <v>10601440</v>
      </c>
      <c r="Q279" s="260" t="s">
        <v>148</v>
      </c>
    </row>
    <row r="280" spans="1:17" ht="17.45" customHeight="1">
      <c r="A280" s="165"/>
      <c r="B280" s="336"/>
      <c r="C280" s="350" t="s">
        <v>242</v>
      </c>
      <c r="D280" s="353">
        <v>300</v>
      </c>
      <c r="E280" s="374">
        <f t="shared" si="25"/>
        <v>360</v>
      </c>
      <c r="F280" s="264"/>
      <c r="G280" s="362">
        <f t="shared" si="22"/>
        <v>60</v>
      </c>
      <c r="H280" s="363">
        <f>G280/D280*100</f>
        <v>20</v>
      </c>
      <c r="I280" s="253" t="s">
        <v>331</v>
      </c>
      <c r="J280" s="298">
        <v>360000</v>
      </c>
      <c r="K280" s="317" t="s">
        <v>148</v>
      </c>
      <c r="L280" s="318" t="s">
        <v>123</v>
      </c>
      <c r="M280" s="319">
        <v>1</v>
      </c>
      <c r="N280" s="319" t="s">
        <v>126</v>
      </c>
      <c r="O280" s="320" t="s">
        <v>138</v>
      </c>
      <c r="P280" s="298">
        <f t="shared" si="23"/>
        <v>360000</v>
      </c>
      <c r="Q280" s="260" t="s">
        <v>148</v>
      </c>
    </row>
    <row r="281" spans="1:17" ht="17.45" customHeight="1">
      <c r="A281" s="165"/>
      <c r="B281" s="336"/>
      <c r="C281" s="350" t="s">
        <v>267</v>
      </c>
      <c r="D281" s="353">
        <v>300</v>
      </c>
      <c r="E281" s="374">
        <f t="shared" si="25"/>
        <v>720</v>
      </c>
      <c r="F281" s="264"/>
      <c r="G281" s="362">
        <f t="shared" si="22"/>
        <v>420</v>
      </c>
      <c r="H281" s="363">
        <f>G281/D281*100</f>
        <v>140</v>
      </c>
      <c r="I281" s="253" t="s">
        <v>331</v>
      </c>
      <c r="J281" s="298">
        <v>720000</v>
      </c>
      <c r="K281" s="317" t="s">
        <v>148</v>
      </c>
      <c r="L281" s="318" t="s">
        <v>123</v>
      </c>
      <c r="M281" s="319">
        <v>1</v>
      </c>
      <c r="N281" s="319" t="s">
        <v>126</v>
      </c>
      <c r="O281" s="320" t="s">
        <v>138</v>
      </c>
      <c r="P281" s="298">
        <f t="shared" si="23"/>
        <v>720000</v>
      </c>
      <c r="Q281" s="260" t="s">
        <v>148</v>
      </c>
    </row>
    <row r="282" spans="1:17" ht="17.45" customHeight="1">
      <c r="A282" s="165"/>
      <c r="B282" s="336"/>
      <c r="C282" s="350" t="s">
        <v>328</v>
      </c>
      <c r="D282" s="353">
        <v>3300</v>
      </c>
      <c r="E282" s="374">
        <f t="shared" si="25"/>
        <v>3600</v>
      </c>
      <c r="F282" s="264"/>
      <c r="G282" s="362">
        <f t="shared" ref="G282:G294" si="26">+E282-D282</f>
        <v>300</v>
      </c>
      <c r="H282" s="363">
        <f>G282/D282*100</f>
        <v>9.0909090909090917</v>
      </c>
      <c r="I282" s="253" t="s">
        <v>331</v>
      </c>
      <c r="J282" s="298">
        <v>3600000</v>
      </c>
      <c r="K282" s="317" t="s">
        <v>148</v>
      </c>
      <c r="L282" s="318" t="s">
        <v>123</v>
      </c>
      <c r="M282" s="319">
        <v>1</v>
      </c>
      <c r="N282" s="319" t="s">
        <v>126</v>
      </c>
      <c r="O282" s="320" t="s">
        <v>138</v>
      </c>
      <c r="P282" s="298">
        <f t="shared" si="23"/>
        <v>3600000</v>
      </c>
      <c r="Q282" s="260" t="s">
        <v>148</v>
      </c>
    </row>
    <row r="283" spans="1:17" ht="17.45" customHeight="1">
      <c r="A283" s="165"/>
      <c r="B283" s="336"/>
      <c r="C283" s="350" t="s">
        <v>310</v>
      </c>
      <c r="D283" s="353">
        <v>300</v>
      </c>
      <c r="E283" s="374">
        <f t="shared" si="25"/>
        <v>360</v>
      </c>
      <c r="F283" s="264"/>
      <c r="G283" s="362">
        <f t="shared" si="26"/>
        <v>60</v>
      </c>
      <c r="H283" s="363">
        <f>G283/D283*100</f>
        <v>20</v>
      </c>
      <c r="I283" s="253" t="s">
        <v>331</v>
      </c>
      <c r="J283" s="298">
        <v>360000</v>
      </c>
      <c r="K283" s="317" t="s">
        <v>148</v>
      </c>
      <c r="L283" s="318" t="s">
        <v>123</v>
      </c>
      <c r="M283" s="319">
        <v>1</v>
      </c>
      <c r="N283" s="319" t="s">
        <v>126</v>
      </c>
      <c r="O283" s="320" t="s">
        <v>138</v>
      </c>
      <c r="P283" s="298">
        <f t="shared" si="23"/>
        <v>360000</v>
      </c>
      <c r="Q283" s="260" t="s">
        <v>148</v>
      </c>
    </row>
    <row r="284" spans="1:17" ht="17.45" customHeight="1">
      <c r="A284" s="165"/>
      <c r="B284" s="336"/>
      <c r="C284" s="376" t="s">
        <v>38</v>
      </c>
      <c r="D284" s="353">
        <v>34000</v>
      </c>
      <c r="E284" s="374">
        <f t="shared" ref="E284:E294" si="27">P284/1000</f>
        <v>17500</v>
      </c>
      <c r="F284" s="264"/>
      <c r="G284" s="362">
        <f t="shared" si="26"/>
        <v>-16500</v>
      </c>
      <c r="H284" s="363">
        <f t="shared" ref="H284:H290" si="28">+G284/D284*100</f>
        <v>-48.529411764705884</v>
      </c>
      <c r="I284" s="253" t="s">
        <v>331</v>
      </c>
      <c r="J284" s="298">
        <v>2500000</v>
      </c>
      <c r="K284" s="317" t="s">
        <v>148</v>
      </c>
      <c r="L284" s="318" t="s">
        <v>123</v>
      </c>
      <c r="M284" s="319">
        <v>7</v>
      </c>
      <c r="N284" s="319" t="s">
        <v>447</v>
      </c>
      <c r="O284" s="320" t="s">
        <v>138</v>
      </c>
      <c r="P284" s="298">
        <f t="shared" si="23"/>
        <v>17500000</v>
      </c>
      <c r="Q284" s="260" t="s">
        <v>148</v>
      </c>
    </row>
    <row r="285" spans="1:17" ht="17.45" customHeight="1">
      <c r="A285" s="165"/>
      <c r="B285" s="336"/>
      <c r="C285" s="376" t="s">
        <v>80</v>
      </c>
      <c r="D285" s="353">
        <v>300</v>
      </c>
      <c r="E285" s="374">
        <f t="shared" si="27"/>
        <v>360</v>
      </c>
      <c r="F285" s="264"/>
      <c r="G285" s="362">
        <f t="shared" si="26"/>
        <v>60</v>
      </c>
      <c r="H285" s="363">
        <f t="shared" si="28"/>
        <v>20</v>
      </c>
      <c r="I285" s="253" t="s">
        <v>331</v>
      </c>
      <c r="J285" s="298">
        <v>360000</v>
      </c>
      <c r="K285" s="317" t="s">
        <v>148</v>
      </c>
      <c r="L285" s="318" t="s">
        <v>123</v>
      </c>
      <c r="M285" s="319">
        <v>1</v>
      </c>
      <c r="N285" s="319" t="s">
        <v>126</v>
      </c>
      <c r="O285" s="320" t="s">
        <v>138</v>
      </c>
      <c r="P285" s="298">
        <f t="shared" si="23"/>
        <v>360000</v>
      </c>
      <c r="Q285" s="260" t="s">
        <v>148</v>
      </c>
    </row>
    <row r="286" spans="1:17" ht="17.45" customHeight="1">
      <c r="A286" s="165"/>
      <c r="B286" s="336"/>
      <c r="C286" s="376" t="s">
        <v>44</v>
      </c>
      <c r="D286" s="353">
        <v>5000</v>
      </c>
      <c r="E286" s="374">
        <f t="shared" si="27"/>
        <v>5000</v>
      </c>
      <c r="F286" s="264"/>
      <c r="G286" s="362">
        <f t="shared" si="26"/>
        <v>0</v>
      </c>
      <c r="H286" s="363">
        <f t="shared" si="28"/>
        <v>0</v>
      </c>
      <c r="I286" s="253" t="s">
        <v>331</v>
      </c>
      <c r="J286" s="298">
        <v>1250000</v>
      </c>
      <c r="K286" s="317" t="s">
        <v>148</v>
      </c>
      <c r="L286" s="318" t="s">
        <v>123</v>
      </c>
      <c r="M286" s="319">
        <v>4</v>
      </c>
      <c r="N286" s="319" t="s">
        <v>126</v>
      </c>
      <c r="O286" s="320" t="s">
        <v>138</v>
      </c>
      <c r="P286" s="298">
        <f t="shared" si="23"/>
        <v>5000000</v>
      </c>
      <c r="Q286" s="260" t="s">
        <v>148</v>
      </c>
    </row>
    <row r="287" spans="1:17" ht="17.45" customHeight="1">
      <c r="A287" s="165"/>
      <c r="B287" s="336"/>
      <c r="C287" s="376" t="s">
        <v>81</v>
      </c>
      <c r="D287" s="353">
        <v>2100</v>
      </c>
      <c r="E287" s="374">
        <f t="shared" si="27"/>
        <v>21189.49</v>
      </c>
      <c r="F287" s="264"/>
      <c r="G287" s="362">
        <f t="shared" si="26"/>
        <v>19089.490000000002</v>
      </c>
      <c r="H287" s="363">
        <v>0</v>
      </c>
      <c r="I287" s="263" t="s">
        <v>446</v>
      </c>
      <c r="J287" s="298">
        <v>10594745</v>
      </c>
      <c r="K287" s="317" t="s">
        <v>148</v>
      </c>
      <c r="L287" s="318" t="s">
        <v>123</v>
      </c>
      <c r="M287" s="319">
        <v>2</v>
      </c>
      <c r="N287" s="319" t="s">
        <v>126</v>
      </c>
      <c r="O287" s="320" t="s">
        <v>138</v>
      </c>
      <c r="P287" s="298">
        <f t="shared" si="23"/>
        <v>21189490</v>
      </c>
      <c r="Q287" s="260" t="s">
        <v>148</v>
      </c>
    </row>
    <row r="288" spans="1:17" ht="17.45" customHeight="1">
      <c r="A288" s="217"/>
      <c r="B288" s="344"/>
      <c r="C288" s="376" t="s">
        <v>82</v>
      </c>
      <c r="D288" s="353">
        <v>70000</v>
      </c>
      <c r="E288" s="374">
        <f t="shared" si="27"/>
        <v>65000</v>
      </c>
      <c r="F288" s="264"/>
      <c r="G288" s="362">
        <f t="shared" si="26"/>
        <v>-5000</v>
      </c>
      <c r="H288" s="363">
        <f t="shared" si="28"/>
        <v>-7.1428571428571423</v>
      </c>
      <c r="I288" s="263" t="s">
        <v>331</v>
      </c>
      <c r="J288" s="298">
        <v>16250000</v>
      </c>
      <c r="K288" s="317" t="s">
        <v>148</v>
      </c>
      <c r="L288" s="318" t="s">
        <v>123</v>
      </c>
      <c r="M288" s="319">
        <v>4</v>
      </c>
      <c r="N288" s="319" t="s">
        <v>126</v>
      </c>
      <c r="O288" s="320" t="s">
        <v>138</v>
      </c>
      <c r="P288" s="298">
        <f t="shared" si="23"/>
        <v>65000000</v>
      </c>
      <c r="Q288" s="260" t="s">
        <v>148</v>
      </c>
    </row>
    <row r="289" spans="1:17" ht="17.45" customHeight="1">
      <c r="A289" s="165"/>
      <c r="B289" s="336"/>
      <c r="C289" s="380" t="s">
        <v>250</v>
      </c>
      <c r="D289" s="374">
        <v>11200</v>
      </c>
      <c r="E289" s="374">
        <f t="shared" si="27"/>
        <v>15829.999980000001</v>
      </c>
      <c r="F289" s="252"/>
      <c r="G289" s="362">
        <f t="shared" si="26"/>
        <v>4629.9999800000005</v>
      </c>
      <c r="H289" s="363">
        <f t="shared" si="28"/>
        <v>41.339285535714296</v>
      </c>
      <c r="I289" s="393" t="s">
        <v>420</v>
      </c>
      <c r="J289" s="52">
        <v>5276666.66</v>
      </c>
      <c r="K289" s="273" t="s">
        <v>148</v>
      </c>
      <c r="L289" s="274" t="s">
        <v>123</v>
      </c>
      <c r="M289" s="275">
        <v>3</v>
      </c>
      <c r="N289" s="275" t="s">
        <v>126</v>
      </c>
      <c r="O289" s="276" t="s">
        <v>138</v>
      </c>
      <c r="P289" s="52">
        <f t="shared" si="23"/>
        <v>15829999.98</v>
      </c>
      <c r="Q289" s="262" t="s">
        <v>148</v>
      </c>
    </row>
    <row r="290" spans="1:17" ht="17.45" customHeight="1">
      <c r="A290" s="217" t="s">
        <v>463</v>
      </c>
      <c r="B290" s="344" t="s">
        <v>463</v>
      </c>
      <c r="C290" s="377" t="s">
        <v>78</v>
      </c>
      <c r="D290" s="354">
        <v>300</v>
      </c>
      <c r="E290" s="355">
        <f t="shared" si="27"/>
        <v>720</v>
      </c>
      <c r="F290" s="265"/>
      <c r="G290" s="348">
        <f t="shared" si="26"/>
        <v>420</v>
      </c>
      <c r="H290" s="359">
        <f t="shared" si="28"/>
        <v>140</v>
      </c>
      <c r="I290" s="253" t="s">
        <v>331</v>
      </c>
      <c r="J290" s="298">
        <v>720000</v>
      </c>
      <c r="K290" s="317" t="s">
        <v>148</v>
      </c>
      <c r="L290" s="318" t="s">
        <v>123</v>
      </c>
      <c r="M290" s="319">
        <v>1</v>
      </c>
      <c r="N290" s="319" t="s">
        <v>126</v>
      </c>
      <c r="O290" s="320" t="s">
        <v>138</v>
      </c>
      <c r="P290" s="298">
        <f t="shared" si="23"/>
        <v>720000</v>
      </c>
      <c r="Q290" s="260" t="s">
        <v>148</v>
      </c>
    </row>
    <row r="291" spans="1:17" ht="17.45" customHeight="1">
      <c r="A291" s="165"/>
      <c r="B291" s="336"/>
      <c r="C291" s="376" t="s">
        <v>72</v>
      </c>
      <c r="D291" s="353">
        <v>600</v>
      </c>
      <c r="E291" s="374">
        <f t="shared" si="27"/>
        <v>720</v>
      </c>
      <c r="F291" s="264"/>
      <c r="G291" s="362">
        <f t="shared" si="26"/>
        <v>120</v>
      </c>
      <c r="H291" s="363">
        <f>G291/D291*100</f>
        <v>20</v>
      </c>
      <c r="I291" s="253" t="s">
        <v>331</v>
      </c>
      <c r="J291" s="298">
        <v>720000</v>
      </c>
      <c r="K291" s="317" t="s">
        <v>148</v>
      </c>
      <c r="L291" s="318" t="s">
        <v>123</v>
      </c>
      <c r="M291" s="319">
        <v>1</v>
      </c>
      <c r="N291" s="319" t="s">
        <v>126</v>
      </c>
      <c r="O291" s="320" t="s">
        <v>138</v>
      </c>
      <c r="P291" s="298">
        <f t="shared" si="23"/>
        <v>720000</v>
      </c>
      <c r="Q291" s="260" t="s">
        <v>148</v>
      </c>
    </row>
    <row r="292" spans="1:17" ht="17.45" customHeight="1">
      <c r="A292" s="165"/>
      <c r="B292" s="336"/>
      <c r="C292" s="259" t="s">
        <v>32</v>
      </c>
      <c r="D292" s="353">
        <v>8300</v>
      </c>
      <c r="E292" s="374">
        <f t="shared" si="27"/>
        <v>8960</v>
      </c>
      <c r="F292" s="264"/>
      <c r="G292" s="362">
        <f t="shared" si="26"/>
        <v>660</v>
      </c>
      <c r="H292" s="363">
        <f>G292/D292*100</f>
        <v>7.9518072289156621</v>
      </c>
      <c r="I292" s="253" t="s">
        <v>420</v>
      </c>
      <c r="J292" s="298">
        <v>4480000</v>
      </c>
      <c r="K292" s="317" t="s">
        <v>148</v>
      </c>
      <c r="L292" s="318" t="s">
        <v>123</v>
      </c>
      <c r="M292" s="319">
        <v>2</v>
      </c>
      <c r="N292" s="319" t="s">
        <v>126</v>
      </c>
      <c r="O292" s="320" t="s">
        <v>138</v>
      </c>
      <c r="P292" s="298">
        <f t="shared" si="23"/>
        <v>8960000</v>
      </c>
      <c r="Q292" s="260" t="s">
        <v>148</v>
      </c>
    </row>
    <row r="293" spans="1:17" ht="17.45" customHeight="1">
      <c r="A293" s="165"/>
      <c r="B293" s="336"/>
      <c r="C293" s="259" t="s">
        <v>11</v>
      </c>
      <c r="D293" s="353">
        <v>1200</v>
      </c>
      <c r="E293" s="374">
        <f t="shared" si="27"/>
        <v>1440</v>
      </c>
      <c r="F293" s="264"/>
      <c r="G293" s="362">
        <f t="shared" si="26"/>
        <v>240</v>
      </c>
      <c r="H293" s="363">
        <f>G293/D293*100</f>
        <v>20</v>
      </c>
      <c r="I293" s="253" t="s">
        <v>331</v>
      </c>
      <c r="J293" s="298">
        <v>1440000</v>
      </c>
      <c r="K293" s="317" t="s">
        <v>148</v>
      </c>
      <c r="L293" s="318" t="s">
        <v>123</v>
      </c>
      <c r="M293" s="319">
        <v>1</v>
      </c>
      <c r="N293" s="319" t="s">
        <v>126</v>
      </c>
      <c r="O293" s="320" t="s">
        <v>138</v>
      </c>
      <c r="P293" s="298">
        <f t="shared" si="23"/>
        <v>1440000</v>
      </c>
      <c r="Q293" s="260" t="s">
        <v>148</v>
      </c>
    </row>
    <row r="294" spans="1:17" ht="17.45" customHeight="1">
      <c r="A294" s="165"/>
      <c r="B294" s="336"/>
      <c r="C294" s="376" t="s">
        <v>94</v>
      </c>
      <c r="D294" s="353">
        <v>3410.3</v>
      </c>
      <c r="E294" s="374">
        <f t="shared" si="27"/>
        <v>3470.3</v>
      </c>
      <c r="F294" s="264"/>
      <c r="G294" s="362">
        <f t="shared" si="26"/>
        <v>60</v>
      </c>
      <c r="H294" s="363">
        <f>G294/D294*100</f>
        <v>1.7593760079758376</v>
      </c>
      <c r="I294" s="253" t="s">
        <v>420</v>
      </c>
      <c r="J294" s="298">
        <v>1735150</v>
      </c>
      <c r="K294" s="317" t="s">
        <v>148</v>
      </c>
      <c r="L294" s="318" t="s">
        <v>123</v>
      </c>
      <c r="M294" s="319">
        <v>2</v>
      </c>
      <c r="N294" s="319" t="s">
        <v>126</v>
      </c>
      <c r="O294" s="320" t="s">
        <v>138</v>
      </c>
      <c r="P294" s="298">
        <f t="shared" si="23"/>
        <v>3470300</v>
      </c>
      <c r="Q294" s="260" t="s">
        <v>148</v>
      </c>
    </row>
    <row r="295" spans="1:17" ht="17.45" customHeight="1">
      <c r="A295" s="165"/>
      <c r="B295" s="336"/>
      <c r="C295" s="350" t="s">
        <v>197</v>
      </c>
      <c r="D295" s="353">
        <v>2400</v>
      </c>
      <c r="E295" s="374">
        <f>P295/1000</f>
        <v>2880</v>
      </c>
      <c r="F295" s="264"/>
      <c r="G295" s="362">
        <f t="shared" ref="G295:G305" si="29">+E295-D295</f>
        <v>480</v>
      </c>
      <c r="H295" s="363">
        <f t="shared" ref="H295:H300" si="30">+G295/D295*100</f>
        <v>20</v>
      </c>
      <c r="I295" s="253" t="s">
        <v>331</v>
      </c>
      <c r="J295" s="298">
        <v>2880000</v>
      </c>
      <c r="K295" s="317" t="s">
        <v>148</v>
      </c>
      <c r="L295" s="318" t="s">
        <v>123</v>
      </c>
      <c r="M295" s="319">
        <v>1</v>
      </c>
      <c r="N295" s="319" t="s">
        <v>126</v>
      </c>
      <c r="O295" s="320" t="s">
        <v>138</v>
      </c>
      <c r="P295" s="298">
        <f t="shared" si="23"/>
        <v>2880000</v>
      </c>
      <c r="Q295" s="260" t="s">
        <v>148</v>
      </c>
    </row>
    <row r="296" spans="1:17" ht="17.45" customHeight="1">
      <c r="A296" s="165"/>
      <c r="B296" s="336"/>
      <c r="C296" s="350" t="s">
        <v>272</v>
      </c>
      <c r="D296" s="346">
        <v>14700</v>
      </c>
      <c r="E296" s="374">
        <f t="shared" ref="E296:E300" si="31">P296/1000</f>
        <v>17219.999999800002</v>
      </c>
      <c r="F296" s="264"/>
      <c r="G296" s="362">
        <f t="shared" si="29"/>
        <v>2519.9999998000021</v>
      </c>
      <c r="H296" s="363">
        <f t="shared" si="30"/>
        <v>17.142857141496613</v>
      </c>
      <c r="I296" s="253" t="s">
        <v>420</v>
      </c>
      <c r="J296" s="298">
        <v>1324615.3846</v>
      </c>
      <c r="K296" s="317" t="s">
        <v>148</v>
      </c>
      <c r="L296" s="318" t="s">
        <v>123</v>
      </c>
      <c r="M296" s="319">
        <v>13</v>
      </c>
      <c r="N296" s="319" t="s">
        <v>126</v>
      </c>
      <c r="O296" s="320" t="s">
        <v>138</v>
      </c>
      <c r="P296" s="298">
        <f>J296*M296</f>
        <v>17219999.9998</v>
      </c>
      <c r="Q296" s="260" t="s">
        <v>148</v>
      </c>
    </row>
    <row r="297" spans="1:17" ht="17.45" customHeight="1">
      <c r="A297" s="165"/>
      <c r="B297" s="336"/>
      <c r="C297" s="350" t="s">
        <v>347</v>
      </c>
      <c r="D297" s="346">
        <v>6609.999890000001</v>
      </c>
      <c r="E297" s="374">
        <f t="shared" si="31"/>
        <v>6609.999890000001</v>
      </c>
      <c r="F297" s="264"/>
      <c r="G297" s="362">
        <f t="shared" si="29"/>
        <v>0</v>
      </c>
      <c r="H297" s="363">
        <f t="shared" si="30"/>
        <v>0</v>
      </c>
      <c r="I297" s="253" t="s">
        <v>420</v>
      </c>
      <c r="J297" s="298">
        <v>508461.53</v>
      </c>
      <c r="K297" s="317" t="s">
        <v>148</v>
      </c>
      <c r="L297" s="318" t="s">
        <v>123</v>
      </c>
      <c r="M297" s="319">
        <v>13</v>
      </c>
      <c r="N297" s="319" t="s">
        <v>126</v>
      </c>
      <c r="O297" s="320" t="s">
        <v>138</v>
      </c>
      <c r="P297" s="298">
        <f>J297*M297</f>
        <v>6609999.8900000006</v>
      </c>
      <c r="Q297" s="260" t="s">
        <v>148</v>
      </c>
    </row>
    <row r="298" spans="1:17" ht="17.45" customHeight="1">
      <c r="A298" s="165"/>
      <c r="B298" s="336"/>
      <c r="C298" s="380" t="s">
        <v>33</v>
      </c>
      <c r="D298" s="374">
        <v>2100</v>
      </c>
      <c r="E298" s="374">
        <f t="shared" si="31"/>
        <v>2520</v>
      </c>
      <c r="F298" s="252"/>
      <c r="G298" s="362">
        <f t="shared" si="29"/>
        <v>420</v>
      </c>
      <c r="H298" s="363">
        <f t="shared" si="30"/>
        <v>20</v>
      </c>
      <c r="I298" s="253" t="s">
        <v>331</v>
      </c>
      <c r="J298" s="298">
        <v>2520000</v>
      </c>
      <c r="K298" s="317" t="s">
        <v>148</v>
      </c>
      <c r="L298" s="318" t="s">
        <v>123</v>
      </c>
      <c r="M298" s="319">
        <v>1</v>
      </c>
      <c r="N298" s="319" t="s">
        <v>126</v>
      </c>
      <c r="O298" s="320" t="s">
        <v>138</v>
      </c>
      <c r="P298" s="298">
        <f t="shared" si="23"/>
        <v>2520000</v>
      </c>
      <c r="Q298" s="260" t="s">
        <v>148</v>
      </c>
    </row>
    <row r="299" spans="1:17" ht="17.45" customHeight="1">
      <c r="A299" s="165"/>
      <c r="B299" s="336"/>
      <c r="C299" s="380" t="s">
        <v>286</v>
      </c>
      <c r="D299" s="374">
        <v>10600</v>
      </c>
      <c r="E299" s="374">
        <f t="shared" si="31"/>
        <v>10360</v>
      </c>
      <c r="F299" s="264"/>
      <c r="G299" s="362">
        <f t="shared" si="29"/>
        <v>-240</v>
      </c>
      <c r="H299" s="363">
        <f t="shared" si="30"/>
        <v>-2.2641509433962264</v>
      </c>
      <c r="I299" s="253" t="s">
        <v>420</v>
      </c>
      <c r="J299" s="298">
        <v>5180000</v>
      </c>
      <c r="K299" s="317" t="s">
        <v>148</v>
      </c>
      <c r="L299" s="318" t="s">
        <v>123</v>
      </c>
      <c r="M299" s="319">
        <v>2</v>
      </c>
      <c r="N299" s="319" t="s">
        <v>126</v>
      </c>
      <c r="O299" s="320" t="s">
        <v>138</v>
      </c>
      <c r="P299" s="298">
        <f t="shared" si="23"/>
        <v>10360000</v>
      </c>
      <c r="Q299" s="260" t="s">
        <v>148</v>
      </c>
    </row>
    <row r="300" spans="1:17" ht="17.45" customHeight="1">
      <c r="A300" s="271"/>
      <c r="B300" s="69"/>
      <c r="C300" s="259" t="s">
        <v>6</v>
      </c>
      <c r="D300" s="374">
        <v>50000</v>
      </c>
      <c r="E300" s="374">
        <f t="shared" si="31"/>
        <v>50000</v>
      </c>
      <c r="F300" s="252"/>
      <c r="G300" s="362">
        <f t="shared" si="29"/>
        <v>0</v>
      </c>
      <c r="H300" s="363">
        <f t="shared" si="30"/>
        <v>0</v>
      </c>
      <c r="I300" s="272" t="s">
        <v>238</v>
      </c>
      <c r="J300" s="52">
        <v>50000000</v>
      </c>
      <c r="K300" s="273" t="s">
        <v>148</v>
      </c>
      <c r="L300" s="274" t="s">
        <v>123</v>
      </c>
      <c r="M300" s="275">
        <v>1</v>
      </c>
      <c r="N300" s="275" t="s">
        <v>126</v>
      </c>
      <c r="O300" s="276" t="s">
        <v>138</v>
      </c>
      <c r="P300" s="52">
        <f t="shared" si="23"/>
        <v>50000000</v>
      </c>
      <c r="Q300" s="262" t="s">
        <v>148</v>
      </c>
    </row>
    <row r="301" spans="1:17" ht="20.100000000000001" customHeight="1">
      <c r="A301" s="88" t="s">
        <v>145</v>
      </c>
      <c r="B301" s="430" t="s">
        <v>168</v>
      </c>
      <c r="C301" s="566"/>
      <c r="D301" s="187">
        <f>+D302</f>
        <v>36000</v>
      </c>
      <c r="E301" s="187">
        <f>+E302</f>
        <v>36000</v>
      </c>
      <c r="F301" s="188"/>
      <c r="G301" s="189">
        <f>+E301-D301</f>
        <v>0</v>
      </c>
      <c r="H301" s="250">
        <f>+G301/D301*100</f>
        <v>0</v>
      </c>
      <c r="I301" s="182"/>
      <c r="J301" s="43"/>
      <c r="K301" s="89"/>
      <c r="L301" s="53"/>
      <c r="M301" s="332"/>
      <c r="N301" s="332"/>
      <c r="O301" s="125"/>
      <c r="P301" s="194">
        <f>P302</f>
        <v>36000000</v>
      </c>
      <c r="Q301" s="128" t="s">
        <v>148</v>
      </c>
    </row>
    <row r="302" spans="1:17" ht="15.95" customHeight="1">
      <c r="A302" s="39"/>
      <c r="B302" s="113" t="s">
        <v>145</v>
      </c>
      <c r="C302" s="494" t="s">
        <v>145</v>
      </c>
      <c r="D302" s="497">
        <v>36000</v>
      </c>
      <c r="E302" s="497">
        <f>+P302/1000</f>
        <v>36000</v>
      </c>
      <c r="F302" s="370"/>
      <c r="G302" s="488">
        <f>+E302-D302</f>
        <v>0</v>
      </c>
      <c r="H302" s="491">
        <f>+G302/D302*100</f>
        <v>0</v>
      </c>
      <c r="I302" s="175"/>
      <c r="J302" s="54"/>
      <c r="K302" s="89"/>
      <c r="L302" s="53"/>
      <c r="M302" s="425" t="s">
        <v>162</v>
      </c>
      <c r="N302" s="425"/>
      <c r="O302" s="425"/>
      <c r="P302" s="43">
        <f>SUM(P303:P304)</f>
        <v>36000000</v>
      </c>
      <c r="Q302" s="38" t="s">
        <v>148</v>
      </c>
    </row>
    <row r="303" spans="1:17" ht="15.95" customHeight="1">
      <c r="A303" s="39"/>
      <c r="B303" s="336"/>
      <c r="C303" s="495"/>
      <c r="D303" s="498"/>
      <c r="E303" s="498"/>
      <c r="F303" s="371"/>
      <c r="G303" s="489"/>
      <c r="H303" s="492"/>
      <c r="I303" s="338" t="s">
        <v>7</v>
      </c>
      <c r="J303" s="305">
        <v>17500000</v>
      </c>
      <c r="K303" s="299" t="s">
        <v>148</v>
      </c>
      <c r="L303" s="300" t="s">
        <v>123</v>
      </c>
      <c r="M303" s="384">
        <v>2</v>
      </c>
      <c r="N303" s="384" t="s">
        <v>126</v>
      </c>
      <c r="O303" s="301" t="s">
        <v>138</v>
      </c>
      <c r="P303" s="306">
        <f>+J303*M303</f>
        <v>35000000</v>
      </c>
      <c r="Q303" s="49" t="s">
        <v>148</v>
      </c>
    </row>
    <row r="304" spans="1:17" ht="15.95" customHeight="1">
      <c r="A304" s="107"/>
      <c r="B304" s="337"/>
      <c r="C304" s="496"/>
      <c r="D304" s="499"/>
      <c r="E304" s="499"/>
      <c r="F304" s="372"/>
      <c r="G304" s="490"/>
      <c r="H304" s="493"/>
      <c r="I304" s="192" t="s">
        <v>393</v>
      </c>
      <c r="J304" s="71">
        <v>500000</v>
      </c>
      <c r="K304" s="179" t="s">
        <v>148</v>
      </c>
      <c r="L304" s="72" t="s">
        <v>123</v>
      </c>
      <c r="M304" s="383">
        <v>2</v>
      </c>
      <c r="N304" s="383" t="s">
        <v>126</v>
      </c>
      <c r="O304" s="73" t="s">
        <v>138</v>
      </c>
      <c r="P304" s="222">
        <f>+J304*M304</f>
        <v>1000000</v>
      </c>
      <c r="Q304" s="74" t="s">
        <v>148</v>
      </c>
    </row>
    <row r="305" spans="1:17" ht="21.75" customHeight="1">
      <c r="A305" s="246" t="s">
        <v>136</v>
      </c>
      <c r="B305" s="430" t="s">
        <v>168</v>
      </c>
      <c r="C305" s="444"/>
      <c r="D305" s="277">
        <f>SUM(D306:D316)</f>
        <v>2530149</v>
      </c>
      <c r="E305" s="277">
        <f>SUM(E306:E316)</f>
        <v>2384938.7690000003</v>
      </c>
      <c r="F305" s="278">
        <f>SUM(F311:F313)</f>
        <v>0</v>
      </c>
      <c r="G305" s="279">
        <f t="shared" si="29"/>
        <v>-145210.23099999968</v>
      </c>
      <c r="H305" s="280">
        <f>+G305/D305*100</f>
        <v>-5.739196822005332</v>
      </c>
      <c r="I305" s="182"/>
      <c r="J305" s="43"/>
      <c r="K305" s="89"/>
      <c r="L305" s="332"/>
      <c r="M305" s="332" t="s">
        <v>162</v>
      </c>
      <c r="N305" s="332"/>
      <c r="O305" s="332"/>
      <c r="P305" s="43">
        <f>SUM(P306,P310,P314)</f>
        <v>2384938769</v>
      </c>
      <c r="Q305" s="38" t="s">
        <v>148</v>
      </c>
    </row>
    <row r="306" spans="1:17" ht="18.75" customHeight="1">
      <c r="A306" s="227" t="s">
        <v>319</v>
      </c>
      <c r="B306" s="570" t="s">
        <v>296</v>
      </c>
      <c r="C306" s="560" t="s">
        <v>136</v>
      </c>
      <c r="D306" s="567">
        <v>2527245</v>
      </c>
      <c r="E306" s="488">
        <f>P306/1000</f>
        <v>2371535.2880000002</v>
      </c>
      <c r="F306" s="281"/>
      <c r="G306" s="488">
        <f>E306-D306</f>
        <v>-155709.71199999982</v>
      </c>
      <c r="H306" s="491">
        <f>G306/D306*100</f>
        <v>-6.1612432510500499</v>
      </c>
      <c r="I306" s="175"/>
      <c r="J306" s="43"/>
      <c r="K306" s="89"/>
      <c r="L306" s="332"/>
      <c r="M306" s="332"/>
      <c r="N306" s="332"/>
      <c r="O306" s="332"/>
      <c r="P306" s="43">
        <f>SUM(P307:P309)</f>
        <v>2371535288</v>
      </c>
      <c r="Q306" s="38" t="s">
        <v>148</v>
      </c>
    </row>
    <row r="307" spans="1:17" ht="16.5" customHeight="1">
      <c r="A307" s="165"/>
      <c r="B307" s="571"/>
      <c r="C307" s="561"/>
      <c r="D307" s="568"/>
      <c r="E307" s="489"/>
      <c r="F307" s="281"/>
      <c r="G307" s="489"/>
      <c r="H307" s="492"/>
      <c r="I307" s="282" t="s">
        <v>76</v>
      </c>
      <c r="J307" s="298">
        <v>1280623295</v>
      </c>
      <c r="K307" s="299" t="s">
        <v>148</v>
      </c>
      <c r="L307" s="300" t="s">
        <v>123</v>
      </c>
      <c r="M307" s="384">
        <v>1</v>
      </c>
      <c r="N307" s="384" t="s">
        <v>126</v>
      </c>
      <c r="O307" s="301" t="s">
        <v>138</v>
      </c>
      <c r="P307" s="298">
        <f>+J307*M307</f>
        <v>1280623295</v>
      </c>
      <c r="Q307" s="49" t="s">
        <v>148</v>
      </c>
    </row>
    <row r="308" spans="1:17" ht="16.5" customHeight="1">
      <c r="A308" s="165"/>
      <c r="B308" s="571"/>
      <c r="C308" s="561"/>
      <c r="D308" s="568"/>
      <c r="E308" s="489"/>
      <c r="F308" s="283"/>
      <c r="G308" s="489"/>
      <c r="H308" s="492"/>
      <c r="I308" s="284" t="s">
        <v>210</v>
      </c>
      <c r="J308" s="298">
        <v>552649303</v>
      </c>
      <c r="K308" s="299" t="s">
        <v>148</v>
      </c>
      <c r="L308" s="300" t="s">
        <v>123</v>
      </c>
      <c r="M308" s="384">
        <v>1</v>
      </c>
      <c r="N308" s="384" t="s">
        <v>126</v>
      </c>
      <c r="O308" s="301" t="s">
        <v>138</v>
      </c>
      <c r="P308" s="298">
        <f>+J308*M308</f>
        <v>552649303</v>
      </c>
      <c r="Q308" s="49" t="s">
        <v>148</v>
      </c>
    </row>
    <row r="309" spans="1:17" ht="16.5" customHeight="1">
      <c r="A309" s="165"/>
      <c r="B309" s="571"/>
      <c r="C309" s="562"/>
      <c r="D309" s="569"/>
      <c r="E309" s="490"/>
      <c r="F309" s="220"/>
      <c r="G309" s="490"/>
      <c r="H309" s="493"/>
      <c r="I309" s="285" t="s">
        <v>187</v>
      </c>
      <c r="J309" s="286">
        <v>538262690</v>
      </c>
      <c r="K309" s="179" t="s">
        <v>148</v>
      </c>
      <c r="L309" s="72" t="s">
        <v>123</v>
      </c>
      <c r="M309" s="383">
        <v>1</v>
      </c>
      <c r="N309" s="383" t="s">
        <v>126</v>
      </c>
      <c r="O309" s="73" t="s">
        <v>138</v>
      </c>
      <c r="P309" s="52">
        <f>+J309*M309</f>
        <v>538262690</v>
      </c>
      <c r="Q309" s="74" t="s">
        <v>148</v>
      </c>
    </row>
    <row r="310" spans="1:17" ht="18.75" hidden="1" customHeight="1">
      <c r="A310" s="227"/>
      <c r="B310" s="571"/>
      <c r="C310" s="560" t="s">
        <v>293</v>
      </c>
      <c r="D310" s="567">
        <v>0</v>
      </c>
      <c r="E310" s="488">
        <f>(P310/1000)</f>
        <v>0</v>
      </c>
      <c r="F310" s="281"/>
      <c r="G310" s="488">
        <f>E310-D310</f>
        <v>0</v>
      </c>
      <c r="H310" s="491" t="e">
        <f>(E310-D310)/D310*100</f>
        <v>#DIV/0!</v>
      </c>
      <c r="I310" s="175"/>
      <c r="J310" s="43"/>
      <c r="K310" s="89"/>
      <c r="L310" s="332"/>
      <c r="M310" s="332"/>
      <c r="N310" s="332"/>
      <c r="O310" s="332"/>
      <c r="P310" s="43">
        <f>SUM(P311:P313)</f>
        <v>0</v>
      </c>
      <c r="Q310" s="38" t="s">
        <v>148</v>
      </c>
    </row>
    <row r="311" spans="1:17" ht="16.5" hidden="1" customHeight="1">
      <c r="A311" s="165"/>
      <c r="B311" s="571"/>
      <c r="C311" s="561"/>
      <c r="D311" s="568"/>
      <c r="E311" s="489"/>
      <c r="F311" s="281"/>
      <c r="G311" s="489"/>
      <c r="H311" s="492"/>
      <c r="I311" s="282" t="s">
        <v>76</v>
      </c>
      <c r="J311" s="298">
        <v>0</v>
      </c>
      <c r="K311" s="299" t="s">
        <v>148</v>
      </c>
      <c r="L311" s="300" t="s">
        <v>123</v>
      </c>
      <c r="M311" s="384">
        <v>1</v>
      </c>
      <c r="N311" s="384" t="s">
        <v>126</v>
      </c>
      <c r="O311" s="301" t="s">
        <v>138</v>
      </c>
      <c r="P311" s="298">
        <f>+J311*M311</f>
        <v>0</v>
      </c>
      <c r="Q311" s="49" t="s">
        <v>148</v>
      </c>
    </row>
    <row r="312" spans="1:17" ht="16.5" hidden="1" customHeight="1">
      <c r="A312" s="165"/>
      <c r="B312" s="571"/>
      <c r="C312" s="561"/>
      <c r="D312" s="568"/>
      <c r="E312" s="489"/>
      <c r="F312" s="283"/>
      <c r="G312" s="489"/>
      <c r="H312" s="492"/>
      <c r="I312" s="284" t="s">
        <v>210</v>
      </c>
      <c r="J312" s="298">
        <v>0</v>
      </c>
      <c r="K312" s="299" t="s">
        <v>148</v>
      </c>
      <c r="L312" s="300" t="s">
        <v>123</v>
      </c>
      <c r="M312" s="384">
        <v>1</v>
      </c>
      <c r="N312" s="384" t="s">
        <v>126</v>
      </c>
      <c r="O312" s="301" t="s">
        <v>138</v>
      </c>
      <c r="P312" s="298">
        <f>+J312*M312</f>
        <v>0</v>
      </c>
      <c r="Q312" s="49" t="s">
        <v>148</v>
      </c>
    </row>
    <row r="313" spans="1:17" ht="16.5" hidden="1" customHeight="1">
      <c r="A313" s="165"/>
      <c r="B313" s="571"/>
      <c r="C313" s="562"/>
      <c r="D313" s="569"/>
      <c r="E313" s="490"/>
      <c r="F313" s="220"/>
      <c r="G313" s="490"/>
      <c r="H313" s="493"/>
      <c r="I313" s="285" t="s">
        <v>187</v>
      </c>
      <c r="J313" s="286">
        <v>0</v>
      </c>
      <c r="K313" s="179" t="s">
        <v>148</v>
      </c>
      <c r="L313" s="72" t="s">
        <v>123</v>
      </c>
      <c r="M313" s="383">
        <v>1</v>
      </c>
      <c r="N313" s="383" t="s">
        <v>126</v>
      </c>
      <c r="O313" s="73" t="s">
        <v>138</v>
      </c>
      <c r="P313" s="52">
        <f>+J313*M313</f>
        <v>0</v>
      </c>
      <c r="Q313" s="74" t="s">
        <v>148</v>
      </c>
    </row>
    <row r="314" spans="1:17" ht="16.5" customHeight="1">
      <c r="A314" s="165"/>
      <c r="B314" s="571"/>
      <c r="C314" s="560" t="s">
        <v>177</v>
      </c>
      <c r="D314" s="488">
        <v>2904</v>
      </c>
      <c r="E314" s="497">
        <f>P314/1000</f>
        <v>13403.481</v>
      </c>
      <c r="F314" s="287"/>
      <c r="G314" s="488">
        <f>E314-D314</f>
        <v>10499.481</v>
      </c>
      <c r="H314" s="491">
        <f>G314/D314*100</f>
        <v>361.55237603305784</v>
      </c>
      <c r="I314" s="175"/>
      <c r="J314" s="54"/>
      <c r="K314" s="89"/>
      <c r="L314" s="53"/>
      <c r="M314" s="332" t="s">
        <v>162</v>
      </c>
      <c r="N314" s="332"/>
      <c r="O314" s="332"/>
      <c r="P314" s="43">
        <f>SUM(P315:P316)</f>
        <v>13403481</v>
      </c>
      <c r="Q314" s="38" t="s">
        <v>148</v>
      </c>
    </row>
    <row r="315" spans="1:17" ht="16.5" customHeight="1">
      <c r="A315" s="165"/>
      <c r="B315" s="571"/>
      <c r="C315" s="561"/>
      <c r="D315" s="489"/>
      <c r="E315" s="498"/>
      <c r="F315" s="304"/>
      <c r="G315" s="489"/>
      <c r="H315" s="492"/>
      <c r="I315" s="338" t="s">
        <v>449</v>
      </c>
      <c r="J315" s="305">
        <v>7189000</v>
      </c>
      <c r="K315" s="299" t="s">
        <v>148</v>
      </c>
      <c r="L315" s="300" t="s">
        <v>123</v>
      </c>
      <c r="M315" s="384">
        <v>1</v>
      </c>
      <c r="N315" s="384" t="s">
        <v>126</v>
      </c>
      <c r="O315" s="301" t="s">
        <v>138</v>
      </c>
      <c r="P315" s="306">
        <f>+J315*M315</f>
        <v>7189000</v>
      </c>
      <c r="Q315" s="49" t="s">
        <v>148</v>
      </c>
    </row>
    <row r="316" spans="1:17" ht="16.5" customHeight="1" thickBot="1">
      <c r="A316" s="288"/>
      <c r="B316" s="572"/>
      <c r="C316" s="592"/>
      <c r="D316" s="589"/>
      <c r="E316" s="590"/>
      <c r="F316" s="289"/>
      <c r="G316" s="589"/>
      <c r="H316" s="591"/>
      <c r="I316" s="394" t="s">
        <v>448</v>
      </c>
      <c r="J316" s="99">
        <v>6214481</v>
      </c>
      <c r="K316" s="395" t="s">
        <v>148</v>
      </c>
      <c r="L316" s="101" t="s">
        <v>123</v>
      </c>
      <c r="M316" s="100">
        <v>1</v>
      </c>
      <c r="N316" s="100" t="s">
        <v>126</v>
      </c>
      <c r="O316" s="102" t="s">
        <v>138</v>
      </c>
      <c r="P316" s="396">
        <f>+J316*M316</f>
        <v>6214481</v>
      </c>
      <c r="Q316" s="103" t="s">
        <v>148</v>
      </c>
    </row>
    <row r="317" spans="1:17" ht="16.5" customHeight="1">
      <c r="B317" s="290"/>
      <c r="C317" s="291"/>
      <c r="D317" s="138"/>
      <c r="F317" s="6"/>
      <c r="H317" s="292"/>
      <c r="I317" s="200"/>
      <c r="J317" s="46"/>
      <c r="L317" s="48"/>
      <c r="O317" s="55"/>
      <c r="P317" s="66"/>
    </row>
    <row r="318" spans="1:17">
      <c r="I318" s="293"/>
    </row>
    <row r="319" spans="1:17">
      <c r="I319" s="294"/>
    </row>
    <row r="320" spans="1:17" ht="9.75" customHeight="1"/>
    <row r="321" spans="9:9" ht="21.75" customHeight="1"/>
    <row r="323" spans="9:9">
      <c r="I323" s="295"/>
    </row>
    <row r="324" spans="9:9">
      <c r="I324" s="295"/>
    </row>
  </sheetData>
  <mergeCells count="374">
    <mergeCell ref="G114:G115"/>
    <mergeCell ref="H206:H208"/>
    <mergeCell ref="G187:G192"/>
    <mergeCell ref="G199:G205"/>
    <mergeCell ref="G193:G197"/>
    <mergeCell ref="H187:H192"/>
    <mergeCell ref="G206:G208"/>
    <mergeCell ref="H168:H170"/>
    <mergeCell ref="G130:G131"/>
    <mergeCell ref="H143:H145"/>
    <mergeCell ref="H154:H156"/>
    <mergeCell ref="G146:G152"/>
    <mergeCell ref="H146:H152"/>
    <mergeCell ref="G143:G145"/>
    <mergeCell ref="G132:G133"/>
    <mergeCell ref="E177:E182"/>
    <mergeCell ref="E172:E175"/>
    <mergeCell ref="F187:F192"/>
    <mergeCell ref="F199:F204"/>
    <mergeCell ref="D206:D208"/>
    <mergeCell ref="E183:E185"/>
    <mergeCell ref="G183:G185"/>
    <mergeCell ref="E187:E192"/>
    <mergeCell ref="F172:F175"/>
    <mergeCell ref="E206:E208"/>
    <mergeCell ref="E193:E197"/>
    <mergeCell ref="F183:F184"/>
    <mergeCell ref="F193:F197"/>
    <mergeCell ref="F206:F208"/>
    <mergeCell ref="G177:G182"/>
    <mergeCell ref="F177:F178"/>
    <mergeCell ref="D193:D197"/>
    <mergeCell ref="G302:G304"/>
    <mergeCell ref="E310:E313"/>
    <mergeCell ref="D187:D192"/>
    <mergeCell ref="E199:E205"/>
    <mergeCell ref="H310:H313"/>
    <mergeCell ref="C302:C304"/>
    <mergeCell ref="D302:D304"/>
    <mergeCell ref="E302:E304"/>
    <mergeCell ref="G314:G316"/>
    <mergeCell ref="G310:G313"/>
    <mergeCell ref="H199:H205"/>
    <mergeCell ref="H193:H197"/>
    <mergeCell ref="E306:E309"/>
    <mergeCell ref="G306:G309"/>
    <mergeCell ref="H306:H309"/>
    <mergeCell ref="E314:E316"/>
    <mergeCell ref="H314:H316"/>
    <mergeCell ref="H302:H304"/>
    <mergeCell ref="C314:C316"/>
    <mergeCell ref="C310:C313"/>
    <mergeCell ref="B209:C209"/>
    <mergeCell ref="D310:D313"/>
    <mergeCell ref="B305:C305"/>
    <mergeCell ref="D314:D316"/>
    <mergeCell ref="C193:C197"/>
    <mergeCell ref="F114:F115"/>
    <mergeCell ref="A1:B1"/>
    <mergeCell ref="A2:B2"/>
    <mergeCell ref="A3:A4"/>
    <mergeCell ref="B6:C6"/>
    <mergeCell ref="C112:C113"/>
    <mergeCell ref="D128:D129"/>
    <mergeCell ref="D42:D44"/>
    <mergeCell ref="C30:C35"/>
    <mergeCell ref="D87:D88"/>
    <mergeCell ref="C101:C102"/>
    <mergeCell ref="C52:C53"/>
    <mergeCell ref="C45:C50"/>
    <mergeCell ref="C98:C100"/>
    <mergeCell ref="C87:C88"/>
    <mergeCell ref="C95:C97"/>
    <mergeCell ref="C24:C29"/>
    <mergeCell ref="C13:C21"/>
    <mergeCell ref="C42:C44"/>
    <mergeCell ref="C109:C111"/>
    <mergeCell ref="C122:C127"/>
    <mergeCell ref="D122:D127"/>
    <mergeCell ref="C3:C4"/>
    <mergeCell ref="G3:H3"/>
    <mergeCell ref="H122:H127"/>
    <mergeCell ref="G107:G108"/>
    <mergeCell ref="M104:O104"/>
    <mergeCell ref="G104:G106"/>
    <mergeCell ref="H107:H108"/>
    <mergeCell ref="H114:H115"/>
    <mergeCell ref="F109:F110"/>
    <mergeCell ref="M107:O107"/>
    <mergeCell ref="G112:G113"/>
    <mergeCell ref="H112:H113"/>
    <mergeCell ref="M109:O109"/>
    <mergeCell ref="G109:G111"/>
    <mergeCell ref="H101:H102"/>
    <mergeCell ref="G83:G84"/>
    <mergeCell ref="G13:G21"/>
    <mergeCell ref="G8:G12"/>
    <mergeCell ref="H13:H21"/>
    <mergeCell ref="M22:O22"/>
    <mergeCell ref="H22:H23"/>
    <mergeCell ref="G22:G23"/>
    <mergeCell ref="H54:H60"/>
    <mergeCell ref="G117:G119"/>
    <mergeCell ref="H117:H119"/>
    <mergeCell ref="F165:F166"/>
    <mergeCell ref="F168:F170"/>
    <mergeCell ref="O2:Q2"/>
    <mergeCell ref="M116:O116"/>
    <mergeCell ref="M146:O146"/>
    <mergeCell ref="M157:O157"/>
    <mergeCell ref="M134:O134"/>
    <mergeCell ref="M154:O154"/>
    <mergeCell ref="M128:O128"/>
    <mergeCell ref="M101:O101"/>
    <mergeCell ref="M95:O95"/>
    <mergeCell ref="M114:O114"/>
    <mergeCell ref="M98:O98"/>
    <mergeCell ref="M103:O103"/>
    <mergeCell ref="M112:O112"/>
    <mergeCell ref="M117:O117"/>
    <mergeCell ref="M122:O122"/>
    <mergeCell ref="I3:Q4"/>
    <mergeCell ref="M138:O138"/>
    <mergeCell ref="M120:O120"/>
    <mergeCell ref="M61:O61"/>
    <mergeCell ref="M65:O65"/>
    <mergeCell ref="M70:O70"/>
    <mergeCell ref="M91:O91"/>
    <mergeCell ref="M302:O302"/>
    <mergeCell ref="M193:O193"/>
    <mergeCell ref="M206:O206"/>
    <mergeCell ref="M177:O177"/>
    <mergeCell ref="M187:O187"/>
    <mergeCell ref="M183:O183"/>
    <mergeCell ref="M168:O168"/>
    <mergeCell ref="H177:H182"/>
    <mergeCell ref="M199:O199"/>
    <mergeCell ref="M172:O172"/>
    <mergeCell ref="H183:H185"/>
    <mergeCell ref="C206:C208"/>
    <mergeCell ref="B301:C301"/>
    <mergeCell ref="C199:C205"/>
    <mergeCell ref="C187:C192"/>
    <mergeCell ref="D199:D205"/>
    <mergeCell ref="C306:C309"/>
    <mergeCell ref="D306:D309"/>
    <mergeCell ref="B306:B316"/>
    <mergeCell ref="C117:C119"/>
    <mergeCell ref="D117:D119"/>
    <mergeCell ref="C183:C185"/>
    <mergeCell ref="D183:D185"/>
    <mergeCell ref="C165:C166"/>
    <mergeCell ref="D146:D152"/>
    <mergeCell ref="C128:C129"/>
    <mergeCell ref="D138:D139"/>
    <mergeCell ref="D143:D145"/>
    <mergeCell ref="C132:C133"/>
    <mergeCell ref="D132:D133"/>
    <mergeCell ref="D130:D131"/>
    <mergeCell ref="C143:C145"/>
    <mergeCell ref="C134:C136"/>
    <mergeCell ref="D134:D136"/>
    <mergeCell ref="C140:C142"/>
    <mergeCell ref="C177:C182"/>
    <mergeCell ref="C70:C72"/>
    <mergeCell ref="D120:D121"/>
    <mergeCell ref="D112:D113"/>
    <mergeCell ref="D177:D182"/>
    <mergeCell ref="D85:D86"/>
    <mergeCell ref="D95:D97"/>
    <mergeCell ref="C146:C152"/>
    <mergeCell ref="D165:D166"/>
    <mergeCell ref="D168:D170"/>
    <mergeCell ref="D160:D164"/>
    <mergeCell ref="C157:C158"/>
    <mergeCell ref="C160:C164"/>
    <mergeCell ref="C154:C156"/>
    <mergeCell ref="C168:C170"/>
    <mergeCell ref="D172:D175"/>
    <mergeCell ref="C130:C131"/>
    <mergeCell ref="C73:C81"/>
    <mergeCell ref="D73:D81"/>
    <mergeCell ref="C114:C115"/>
    <mergeCell ref="C120:C121"/>
    <mergeCell ref="C104:C106"/>
    <mergeCell ref="E85:E86"/>
    <mergeCell ref="D104:D106"/>
    <mergeCell ref="C138:C139"/>
    <mergeCell ref="C172:C175"/>
    <mergeCell ref="E165:E166"/>
    <mergeCell ref="E168:E170"/>
    <mergeCell ref="C107:C108"/>
    <mergeCell ref="B89:C89"/>
    <mergeCell ref="C85:C86"/>
    <mergeCell ref="D154:D156"/>
    <mergeCell ref="D114:D115"/>
    <mergeCell ref="D109:D111"/>
    <mergeCell ref="D107:D108"/>
    <mergeCell ref="E154:E156"/>
    <mergeCell ref="E160:E164"/>
    <mergeCell ref="F13:F19"/>
    <mergeCell ref="D22:D23"/>
    <mergeCell ref="C22:C23"/>
    <mergeCell ref="F22:F23"/>
    <mergeCell ref="E98:E100"/>
    <mergeCell ref="E104:E106"/>
    <mergeCell ref="D101:D102"/>
    <mergeCell ref="F65:F69"/>
    <mergeCell ref="F70:F72"/>
    <mergeCell ref="F30:F34"/>
    <mergeCell ref="F37:F39"/>
    <mergeCell ref="F52:F53"/>
    <mergeCell ref="F45:F50"/>
    <mergeCell ref="E24:E29"/>
    <mergeCell ref="F24:F29"/>
    <mergeCell ref="E42:E44"/>
    <mergeCell ref="E45:E50"/>
    <mergeCell ref="E52:E53"/>
    <mergeCell ref="D30:D35"/>
    <mergeCell ref="E54:E60"/>
    <mergeCell ref="D65:D69"/>
    <mergeCell ref="D54:D60"/>
    <mergeCell ref="D98:D100"/>
    <mergeCell ref="E73:E81"/>
    <mergeCell ref="E3:E4"/>
    <mergeCell ref="A5:C5"/>
    <mergeCell ref="C8:C12"/>
    <mergeCell ref="D8:D12"/>
    <mergeCell ref="B3:B4"/>
    <mergeCell ref="D13:D21"/>
    <mergeCell ref="E8:E12"/>
    <mergeCell ref="E13:E21"/>
    <mergeCell ref="E22:E23"/>
    <mergeCell ref="D3:D4"/>
    <mergeCell ref="F3:F4"/>
    <mergeCell ref="E30:E35"/>
    <mergeCell ref="F61:F64"/>
    <mergeCell ref="C83:C84"/>
    <mergeCell ref="C54:C60"/>
    <mergeCell ref="C91:C94"/>
    <mergeCell ref="E61:E64"/>
    <mergeCell ref="D61:D64"/>
    <mergeCell ref="B82:C82"/>
    <mergeCell ref="C61:C64"/>
    <mergeCell ref="C65:C69"/>
    <mergeCell ref="E83:E84"/>
    <mergeCell ref="D83:D84"/>
    <mergeCell ref="E91:E94"/>
    <mergeCell ref="D91:D94"/>
    <mergeCell ref="D24:D29"/>
    <mergeCell ref="D52:D53"/>
    <mergeCell ref="D45:D50"/>
    <mergeCell ref="D70:D72"/>
    <mergeCell ref="E70:E72"/>
    <mergeCell ref="F83:F84"/>
    <mergeCell ref="F87:F88"/>
    <mergeCell ref="E65:E69"/>
    <mergeCell ref="F54:F60"/>
    <mergeCell ref="F120:F121"/>
    <mergeCell ref="E134:E136"/>
    <mergeCell ref="E117:E119"/>
    <mergeCell ref="F85:F86"/>
    <mergeCell ref="F98:F100"/>
    <mergeCell ref="F91:F94"/>
    <mergeCell ref="F104:F106"/>
    <mergeCell ref="F107:F108"/>
    <mergeCell ref="F95:F97"/>
    <mergeCell ref="E130:E131"/>
    <mergeCell ref="F128:F129"/>
    <mergeCell ref="E114:E115"/>
    <mergeCell ref="F160:F163"/>
    <mergeCell ref="D140:D142"/>
    <mergeCell ref="E140:E142"/>
    <mergeCell ref="E122:E127"/>
    <mergeCell ref="E146:E152"/>
    <mergeCell ref="E138:E139"/>
    <mergeCell ref="E143:E145"/>
    <mergeCell ref="E128:E129"/>
    <mergeCell ref="E132:E133"/>
    <mergeCell ref="F138:F139"/>
    <mergeCell ref="F132:F133"/>
    <mergeCell ref="E157:E158"/>
    <mergeCell ref="D157:D158"/>
    <mergeCell ref="F146:F151"/>
    <mergeCell ref="G87:G88"/>
    <mergeCell ref="E120:E121"/>
    <mergeCell ref="F154:F156"/>
    <mergeCell ref="E107:E108"/>
    <mergeCell ref="H85:H86"/>
    <mergeCell ref="H91:H94"/>
    <mergeCell ref="G91:G94"/>
    <mergeCell ref="H134:H136"/>
    <mergeCell ref="H128:H129"/>
    <mergeCell ref="G128:G129"/>
    <mergeCell ref="G120:G121"/>
    <mergeCell ref="H120:H121"/>
    <mergeCell ref="G138:G139"/>
    <mergeCell ref="H138:H139"/>
    <mergeCell ref="G122:G127"/>
    <mergeCell ref="H130:H131"/>
    <mergeCell ref="H104:H106"/>
    <mergeCell ref="H109:H111"/>
    <mergeCell ref="E109:E111"/>
    <mergeCell ref="E112:E113"/>
    <mergeCell ref="E101:E102"/>
    <mergeCell ref="E87:E88"/>
    <mergeCell ref="E95:E97"/>
    <mergeCell ref="G154:G156"/>
    <mergeCell ref="M29:N29"/>
    <mergeCell ref="H30:H35"/>
    <mergeCell ref="M13:O13"/>
    <mergeCell ref="M28:N28"/>
    <mergeCell ref="M24:O24"/>
    <mergeCell ref="G24:G29"/>
    <mergeCell ref="H8:H12"/>
    <mergeCell ref="G52:G53"/>
    <mergeCell ref="G45:G50"/>
    <mergeCell ref="M25:N25"/>
    <mergeCell ref="M26:N26"/>
    <mergeCell ref="M27:N27"/>
    <mergeCell ref="H24:H29"/>
    <mergeCell ref="I32:J32"/>
    <mergeCell ref="M37:O37"/>
    <mergeCell ref="M42:O42"/>
    <mergeCell ref="M45:O45"/>
    <mergeCell ref="M54:O54"/>
    <mergeCell ref="H45:H50"/>
    <mergeCell ref="G30:G35"/>
    <mergeCell ref="H42:H44"/>
    <mergeCell ref="G42:G44"/>
    <mergeCell ref="H52:H53"/>
    <mergeCell ref="G54:G60"/>
    <mergeCell ref="M132:O132"/>
    <mergeCell ref="H132:H133"/>
    <mergeCell ref="G134:G136"/>
    <mergeCell ref="G172:G175"/>
    <mergeCell ref="G160:G164"/>
    <mergeCell ref="H160:H164"/>
    <mergeCell ref="G140:G142"/>
    <mergeCell ref="H140:H142"/>
    <mergeCell ref="M160:O160"/>
    <mergeCell ref="H172:H175"/>
    <mergeCell ref="M165:O165"/>
    <mergeCell ref="G165:G166"/>
    <mergeCell ref="G157:G158"/>
    <mergeCell ref="H157:H158"/>
    <mergeCell ref="H165:H166"/>
    <mergeCell ref="G168:G170"/>
    <mergeCell ref="M143:O143"/>
    <mergeCell ref="M140:O140"/>
    <mergeCell ref="G73:G81"/>
    <mergeCell ref="H73:H81"/>
    <mergeCell ref="C37:C41"/>
    <mergeCell ref="D37:D41"/>
    <mergeCell ref="E37:E41"/>
    <mergeCell ref="G37:G41"/>
    <mergeCell ref="H37:H41"/>
    <mergeCell ref="M130:O130"/>
    <mergeCell ref="H95:H97"/>
    <mergeCell ref="H70:H72"/>
    <mergeCell ref="G70:G72"/>
    <mergeCell ref="H65:H69"/>
    <mergeCell ref="H83:H84"/>
    <mergeCell ref="M73:O73"/>
    <mergeCell ref="M90:O90"/>
    <mergeCell ref="G101:G102"/>
    <mergeCell ref="G98:G100"/>
    <mergeCell ref="G95:G97"/>
    <mergeCell ref="H98:H100"/>
    <mergeCell ref="H61:H64"/>
    <mergeCell ref="G61:G64"/>
    <mergeCell ref="G65:G69"/>
    <mergeCell ref="G85:G86"/>
    <mergeCell ref="H87:H88"/>
  </mergeCells>
  <phoneticPr fontId="6" type="noConversion"/>
  <pageMargins left="0.27559055118110237" right="0.27559055118110237" top="0.47244094488188981" bottom="0.39370078740157483" header="0.39370078740157483" footer="0.19685039370078741"/>
  <pageSetup paperSize="9" scale="89" firstPageNumber="4" fitToWidth="14" fitToHeight="14" orientation="landscape" useFirstPageNumber="1" r:id="rId1"/>
  <headerFooter>
    <oddFooter>&amp;C&amp;"맑은 고딕,Regular"&amp;P</oddFooter>
  </headerFooter>
  <rowBreaks count="9" manualBreakCount="9">
    <brk id="35" max="1048575" man="1"/>
    <brk id="69" max="16" man="1"/>
    <brk id="102" max="16" man="1"/>
    <brk id="136" max="16" man="1"/>
    <brk id="166" max="16" man="1"/>
    <brk id="197" max="16" man="1"/>
    <brk id="229" max="16" man="1"/>
    <brk id="260" max="16" man="1"/>
    <brk id="289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세입예산서</vt:lpstr>
      <vt:lpstr>세출예산서</vt:lpstr>
      <vt:lpstr>세입예산서!Print_Area</vt:lpstr>
      <vt:lpstr>세출예산서!Print_Area</vt:lpstr>
      <vt:lpstr>예산총칙!Print_Area</vt:lpstr>
      <vt:lpstr>세입예산서!Print_Titles</vt:lpstr>
      <vt:lpstr>세출예산서!Print_Titles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28</cp:revision>
  <cp:lastPrinted>2023-05-18T04:52:18Z</cp:lastPrinted>
  <dcterms:created xsi:type="dcterms:W3CDTF">2009-12-07T05:26:05Z</dcterms:created>
  <dcterms:modified xsi:type="dcterms:W3CDTF">2023-05-19T01:28:12Z</dcterms:modified>
  <cp:version>1100.0100.01</cp:version>
</cp:coreProperties>
</file>