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정경애\Desktop\10월이사회\법인 2차 추경\"/>
    </mc:Choice>
  </mc:AlternateContent>
  <xr:revisionPtr revIDLastSave="0" documentId="13_ncr:1_{ACBB9306-E6C2-45FC-9B08-B213E1F9D2AD}" xr6:coauthVersionLast="36" xr6:coauthVersionMax="47" xr10:uidLastSave="{00000000-0000-0000-0000-000000000000}"/>
  <bookViews>
    <workbookView xWindow="0" yWindow="0" windowWidth="28800" windowHeight="12060" activeTab="1" xr2:uid="{00000000-000D-0000-FFFF-FFFF00000000}"/>
  </bookViews>
  <sheets>
    <sheet name="예산총칙" sheetId="2" r:id="rId1"/>
    <sheet name="세입예산서" sheetId="6" r:id="rId2"/>
    <sheet name="세출예산서" sheetId="7" r:id="rId3"/>
  </sheets>
  <definedNames>
    <definedName name="_xlnm.Print_Area" localSheetId="1">세입예산서!$A$1:$R$92</definedName>
    <definedName name="_xlnm.Print_Area" localSheetId="2">세출예산서!$A$1:$Q$309</definedName>
    <definedName name="_xlnm.Print_Area" localSheetId="0">예산총칙!$A$1:$P$21</definedName>
    <definedName name="_xlnm.Print_Titles" localSheetId="1">세입예산서!$4:$5</definedName>
    <definedName name="_xlnm.Print_Titles" localSheetId="2">세출예산서!$3:$4</definedName>
  </definedNames>
  <calcPr calcId="191029"/>
</workbook>
</file>

<file path=xl/calcChain.xml><?xml version="1.0" encoding="utf-8"?>
<calcChain xmlns="http://schemas.openxmlformats.org/spreadsheetml/2006/main">
  <c r="P92" i="6" l="1"/>
  <c r="H63" i="6" l="1"/>
  <c r="P63" i="6"/>
  <c r="P292" i="7" l="1"/>
  <c r="E292" i="7" s="1"/>
  <c r="G292" i="7" l="1"/>
  <c r="P88" i="7" l="1"/>
  <c r="P15" i="6" l="1"/>
  <c r="P21" i="6"/>
  <c r="P308" i="7" l="1"/>
  <c r="D162" i="7"/>
  <c r="P76" i="7"/>
  <c r="P75" i="7"/>
  <c r="P74" i="7"/>
  <c r="P37" i="7"/>
  <c r="P184" i="7" l="1"/>
  <c r="P183" i="7"/>
  <c r="P185" i="7"/>
  <c r="P110" i="7" l="1"/>
  <c r="P109" i="7" s="1"/>
  <c r="E109" i="7" s="1"/>
  <c r="G109" i="7" s="1"/>
  <c r="H109" i="7" s="1"/>
  <c r="G110" i="7"/>
  <c r="H110" i="7" s="1"/>
  <c r="P108" i="7"/>
  <c r="P106" i="7"/>
  <c r="P104" i="7" s="1"/>
  <c r="E104" i="7" s="1"/>
  <c r="G104" i="7" s="1"/>
  <c r="H104" i="7" s="1"/>
  <c r="P102" i="7"/>
  <c r="E102" i="7" s="1"/>
  <c r="G102" i="7" s="1"/>
  <c r="H102" i="7" s="1"/>
  <c r="P100" i="7"/>
  <c r="P99" i="7" s="1"/>
  <c r="E99" i="7" s="1"/>
  <c r="G99" i="7" s="1"/>
  <c r="H99" i="7" s="1"/>
  <c r="P107" i="7" l="1"/>
  <c r="E107" i="7" s="1"/>
  <c r="G107" i="7" s="1"/>
  <c r="H107" i="7" s="1"/>
  <c r="P169" i="7"/>
  <c r="P168" i="7"/>
  <c r="P165" i="7"/>
  <c r="P95" i="7"/>
  <c r="P94" i="7"/>
  <c r="P89" i="7"/>
  <c r="P87" i="7"/>
  <c r="P179" i="7" l="1"/>
  <c r="P73" i="7" l="1"/>
  <c r="D154" i="7" l="1"/>
  <c r="P238" i="7"/>
  <c r="P78" i="6"/>
  <c r="P137" i="7" l="1"/>
  <c r="P159" i="7" l="1"/>
  <c r="P158" i="7"/>
  <c r="P157" i="7"/>
  <c r="P156" i="7"/>
  <c r="P69" i="7"/>
  <c r="P31" i="6"/>
  <c r="P30" i="6"/>
  <c r="P29" i="6"/>
  <c r="P155" i="7" l="1"/>
  <c r="E155" i="7" s="1"/>
  <c r="P72" i="7"/>
  <c r="P309" i="7"/>
  <c r="P306" i="7"/>
  <c r="P305" i="7"/>
  <c r="P304" i="7"/>
  <c r="P302" i="7"/>
  <c r="P301" i="7"/>
  <c r="P300" i="7"/>
  <c r="F298" i="7"/>
  <c r="D298" i="7"/>
  <c r="P297" i="7"/>
  <c r="P296" i="7"/>
  <c r="D294" i="7"/>
  <c r="P293" i="7"/>
  <c r="E293" i="7" s="1"/>
  <c r="G293" i="7" s="1"/>
  <c r="H293" i="7" s="1"/>
  <c r="P291" i="7"/>
  <c r="E291" i="7" s="1"/>
  <c r="P290" i="7"/>
  <c r="E290" i="7" s="1"/>
  <c r="G290" i="7" s="1"/>
  <c r="H290" i="7" s="1"/>
  <c r="P289" i="7"/>
  <c r="E289" i="7" s="1"/>
  <c r="P288" i="7"/>
  <c r="E288" i="7" s="1"/>
  <c r="G288" i="7" s="1"/>
  <c r="H288" i="7" s="1"/>
  <c r="P287" i="7"/>
  <c r="E287" i="7" s="1"/>
  <c r="P286" i="7"/>
  <c r="E286" i="7" s="1"/>
  <c r="G286" i="7" s="1"/>
  <c r="H286" i="7" s="1"/>
  <c r="P285" i="7"/>
  <c r="E285" i="7" s="1"/>
  <c r="P284" i="7"/>
  <c r="E284" i="7" s="1"/>
  <c r="G284" i="7" s="1"/>
  <c r="H284" i="7" s="1"/>
  <c r="P283" i="7"/>
  <c r="E283" i="7" s="1"/>
  <c r="G283" i="7" s="1"/>
  <c r="H283" i="7" s="1"/>
  <c r="P282" i="7"/>
  <c r="E282" i="7" s="1"/>
  <c r="G282" i="7" s="1"/>
  <c r="H282" i="7" s="1"/>
  <c r="P281" i="7"/>
  <c r="E281" i="7" s="1"/>
  <c r="G281" i="7" s="1"/>
  <c r="H281" i="7" s="1"/>
  <c r="P280" i="7"/>
  <c r="E280" i="7" s="1"/>
  <c r="G280" i="7" s="1"/>
  <c r="H280" i="7" s="1"/>
  <c r="P279" i="7"/>
  <c r="E279" i="7" s="1"/>
  <c r="P278" i="7"/>
  <c r="E278" i="7" s="1"/>
  <c r="P277" i="7"/>
  <c r="E277" i="7" s="1"/>
  <c r="P276" i="7"/>
  <c r="E276" i="7" s="1"/>
  <c r="P275" i="7"/>
  <c r="E275" i="7" s="1"/>
  <c r="P274" i="7"/>
  <c r="E274" i="7" s="1"/>
  <c r="G274" i="7" s="1"/>
  <c r="H274" i="7" s="1"/>
  <c r="P273" i="7"/>
  <c r="E273" i="7" s="1"/>
  <c r="P272" i="7"/>
  <c r="E272" i="7" s="1"/>
  <c r="G272" i="7" s="1"/>
  <c r="H272" i="7" s="1"/>
  <c r="P271" i="7"/>
  <c r="E271" i="7" s="1"/>
  <c r="P270" i="7"/>
  <c r="E270" i="7" s="1"/>
  <c r="G270" i="7" s="1"/>
  <c r="H270" i="7" s="1"/>
  <c r="P269" i="7"/>
  <c r="E269" i="7" s="1"/>
  <c r="P268" i="7"/>
  <c r="E268" i="7" s="1"/>
  <c r="G268" i="7" s="1"/>
  <c r="H268" i="7" s="1"/>
  <c r="P267" i="7"/>
  <c r="E267" i="7" s="1"/>
  <c r="P266" i="7"/>
  <c r="E266" i="7" s="1"/>
  <c r="P265" i="7"/>
  <c r="E265" i="7" s="1"/>
  <c r="P264" i="7"/>
  <c r="E264" i="7" s="1"/>
  <c r="G264" i="7" s="1"/>
  <c r="H264" i="7" s="1"/>
  <c r="P263" i="7"/>
  <c r="E263" i="7" s="1"/>
  <c r="P262" i="7"/>
  <c r="E262" i="7" s="1"/>
  <c r="G262" i="7" s="1"/>
  <c r="H262" i="7" s="1"/>
  <c r="P261" i="7"/>
  <c r="E261" i="7" s="1"/>
  <c r="P260" i="7"/>
  <c r="E260" i="7" s="1"/>
  <c r="G260" i="7" s="1"/>
  <c r="H260" i="7" s="1"/>
  <c r="P259" i="7"/>
  <c r="E259" i="7" s="1"/>
  <c r="P258" i="7"/>
  <c r="E258" i="7" s="1"/>
  <c r="G258" i="7" s="1"/>
  <c r="H258" i="7" s="1"/>
  <c r="P257" i="7"/>
  <c r="E257" i="7" s="1"/>
  <c r="P256" i="7"/>
  <c r="E256" i="7" s="1"/>
  <c r="P255" i="7"/>
  <c r="E255" i="7" s="1"/>
  <c r="P254" i="7"/>
  <c r="E254" i="7" s="1"/>
  <c r="P253" i="7"/>
  <c r="E253" i="7" s="1"/>
  <c r="G253" i="7" s="1"/>
  <c r="H253" i="7" s="1"/>
  <c r="P252" i="7"/>
  <c r="E252" i="7" s="1"/>
  <c r="P251" i="7"/>
  <c r="E251" i="7" s="1"/>
  <c r="G251" i="7" s="1"/>
  <c r="H251" i="7" s="1"/>
  <c r="P250" i="7"/>
  <c r="E250" i="7" s="1"/>
  <c r="P249" i="7"/>
  <c r="E249" i="7" s="1"/>
  <c r="G249" i="7" s="1"/>
  <c r="H249" i="7" s="1"/>
  <c r="P248" i="7"/>
  <c r="E248" i="7" s="1"/>
  <c r="P247" i="7"/>
  <c r="E247" i="7" s="1"/>
  <c r="P246" i="7"/>
  <c r="E246" i="7" s="1"/>
  <c r="P245" i="7"/>
  <c r="E245" i="7" s="1"/>
  <c r="P244" i="7"/>
  <c r="E244" i="7" s="1"/>
  <c r="P243" i="7"/>
  <c r="E243" i="7" s="1"/>
  <c r="G243" i="7" s="1"/>
  <c r="H243" i="7" s="1"/>
  <c r="P242" i="7"/>
  <c r="E242" i="7" s="1"/>
  <c r="P241" i="7"/>
  <c r="E241" i="7" s="1"/>
  <c r="G241" i="7" s="1"/>
  <c r="H241" i="7" s="1"/>
  <c r="P240" i="7"/>
  <c r="E240" i="7" s="1"/>
  <c r="P239" i="7"/>
  <c r="E239" i="7" s="1"/>
  <c r="G239" i="7" s="1"/>
  <c r="H239" i="7" s="1"/>
  <c r="E238" i="7"/>
  <c r="G238" i="7" s="1"/>
  <c r="H238" i="7" s="1"/>
  <c r="P237" i="7"/>
  <c r="E237" i="7" s="1"/>
  <c r="G237" i="7" s="1"/>
  <c r="H237" i="7" s="1"/>
  <c r="P236" i="7"/>
  <c r="E236" i="7" s="1"/>
  <c r="G236" i="7" s="1"/>
  <c r="H236" i="7" s="1"/>
  <c r="P235" i="7"/>
  <c r="E235" i="7" s="1"/>
  <c r="P234" i="7"/>
  <c r="E234" i="7" s="1"/>
  <c r="G234" i="7" s="1"/>
  <c r="H234" i="7" s="1"/>
  <c r="P233" i="7"/>
  <c r="E233" i="7" s="1"/>
  <c r="P232" i="7"/>
  <c r="E232" i="7" s="1"/>
  <c r="G232" i="7" s="1"/>
  <c r="H232" i="7" s="1"/>
  <c r="P231" i="7"/>
  <c r="E231" i="7" s="1"/>
  <c r="G231" i="7" s="1"/>
  <c r="H231" i="7" s="1"/>
  <c r="P230" i="7"/>
  <c r="E230" i="7" s="1"/>
  <c r="P229" i="7"/>
  <c r="E229" i="7" s="1"/>
  <c r="G229" i="7" s="1"/>
  <c r="H229" i="7" s="1"/>
  <c r="P228" i="7"/>
  <c r="E228" i="7" s="1"/>
  <c r="G228" i="7" s="1"/>
  <c r="H228" i="7" s="1"/>
  <c r="P227" i="7"/>
  <c r="E227" i="7" s="1"/>
  <c r="P226" i="7"/>
  <c r="E226" i="7" s="1"/>
  <c r="G226" i="7" s="1"/>
  <c r="H226" i="7" s="1"/>
  <c r="F226" i="7"/>
  <c r="F202" i="7" s="1"/>
  <c r="P225" i="7"/>
  <c r="E225" i="7" s="1"/>
  <c r="P224" i="7"/>
  <c r="E224" i="7" s="1"/>
  <c r="G224" i="7" s="1"/>
  <c r="H224" i="7" s="1"/>
  <c r="P223" i="7"/>
  <c r="E223" i="7" s="1"/>
  <c r="P222" i="7"/>
  <c r="E222" i="7" s="1"/>
  <c r="P221" i="7"/>
  <c r="E221" i="7" s="1"/>
  <c r="G221" i="7" s="1"/>
  <c r="H221" i="7" s="1"/>
  <c r="P220" i="7"/>
  <c r="E220" i="7" s="1"/>
  <c r="G220" i="7" s="1"/>
  <c r="H220" i="7" s="1"/>
  <c r="P219" i="7"/>
  <c r="E219" i="7" s="1"/>
  <c r="G219" i="7" s="1"/>
  <c r="H219" i="7" s="1"/>
  <c r="P218" i="7"/>
  <c r="E218" i="7" s="1"/>
  <c r="P217" i="7"/>
  <c r="E217" i="7" s="1"/>
  <c r="G217" i="7" s="1"/>
  <c r="H217" i="7" s="1"/>
  <c r="P216" i="7"/>
  <c r="E216" i="7" s="1"/>
  <c r="P215" i="7"/>
  <c r="E215" i="7" s="1"/>
  <c r="P214" i="7"/>
  <c r="E214" i="7" s="1"/>
  <c r="P213" i="7"/>
  <c r="E213" i="7" s="1"/>
  <c r="G213" i="7" s="1"/>
  <c r="H213" i="7" s="1"/>
  <c r="P212" i="7"/>
  <c r="E212" i="7" s="1"/>
  <c r="P211" i="7"/>
  <c r="E211" i="7" s="1"/>
  <c r="G211" i="7" s="1"/>
  <c r="H211" i="7" s="1"/>
  <c r="P210" i="7"/>
  <c r="E210" i="7" s="1"/>
  <c r="P209" i="7"/>
  <c r="E209" i="7" s="1"/>
  <c r="G209" i="7" s="1"/>
  <c r="H209" i="7" s="1"/>
  <c r="P208" i="7"/>
  <c r="E208" i="7" s="1"/>
  <c r="P207" i="7"/>
  <c r="E207" i="7" s="1"/>
  <c r="P206" i="7"/>
  <c r="E206" i="7" s="1"/>
  <c r="G206" i="7" s="1"/>
  <c r="H206" i="7" s="1"/>
  <c r="P205" i="7"/>
  <c r="P204" i="7"/>
  <c r="E204" i="7" s="1"/>
  <c r="P203" i="7"/>
  <c r="E203" i="7" s="1"/>
  <c r="G203" i="7" s="1"/>
  <c r="H203" i="7" s="1"/>
  <c r="D202" i="7"/>
  <c r="P201" i="7"/>
  <c r="P200" i="7"/>
  <c r="P198" i="7"/>
  <c r="P197" i="7"/>
  <c r="P196" i="7"/>
  <c r="P195" i="7"/>
  <c r="P194" i="7"/>
  <c r="P193" i="7"/>
  <c r="F191" i="7"/>
  <c r="D191" i="7"/>
  <c r="P190" i="7"/>
  <c r="P189" i="7"/>
  <c r="P188" i="7"/>
  <c r="P186" i="7"/>
  <c r="P182" i="7"/>
  <c r="F180" i="7"/>
  <c r="D180" i="7"/>
  <c r="P177" i="7"/>
  <c r="P176" i="7"/>
  <c r="P175" i="7"/>
  <c r="P174" i="7"/>
  <c r="P173" i="7"/>
  <c r="F171" i="7"/>
  <c r="D171" i="7"/>
  <c r="P170" i="7"/>
  <c r="D166" i="7"/>
  <c r="G165" i="7"/>
  <c r="H165" i="7" s="1"/>
  <c r="P164" i="7"/>
  <c r="G164" i="7"/>
  <c r="H164" i="7" s="1"/>
  <c r="F162" i="7"/>
  <c r="P161" i="7"/>
  <c r="P160" i="7" s="1"/>
  <c r="F154" i="7"/>
  <c r="P153" i="7"/>
  <c r="P152" i="7" s="1"/>
  <c r="E152" i="7" s="1"/>
  <c r="P151" i="7"/>
  <c r="P150" i="7"/>
  <c r="D148" i="7"/>
  <c r="P147" i="7"/>
  <c r="P146" i="7"/>
  <c r="P145" i="7"/>
  <c r="P144" i="7"/>
  <c r="P143" i="7"/>
  <c r="P140" i="7"/>
  <c r="P139" i="7"/>
  <c r="P136" i="7"/>
  <c r="P134" i="7"/>
  <c r="P133" i="7" s="1"/>
  <c r="E133" i="7" s="1"/>
  <c r="F132" i="7"/>
  <c r="D132" i="7"/>
  <c r="P131" i="7"/>
  <c r="P130" i="7"/>
  <c r="P128" i="7"/>
  <c r="P127" i="7" s="1"/>
  <c r="E127" i="7" s="1"/>
  <c r="P126" i="7"/>
  <c r="P123" i="7"/>
  <c r="E123" i="7" s="1"/>
  <c r="P117" i="7"/>
  <c r="E117" i="7" s="1"/>
  <c r="P116" i="7"/>
  <c r="P115" i="7" s="1"/>
  <c r="E115" i="7" s="1"/>
  <c r="G115" i="7" s="1"/>
  <c r="H115" i="7" s="1"/>
  <c r="P114" i="7"/>
  <c r="P113" i="7"/>
  <c r="D111" i="7"/>
  <c r="F98" i="7"/>
  <c r="D98" i="7"/>
  <c r="P97" i="7"/>
  <c r="P96" i="7" s="1"/>
  <c r="E96" i="7" s="1"/>
  <c r="G94" i="7"/>
  <c r="H94" i="7" s="1"/>
  <c r="P92" i="7"/>
  <c r="P91" i="7"/>
  <c r="G89" i="7"/>
  <c r="H89" i="7" s="1"/>
  <c r="F85" i="7"/>
  <c r="D85" i="7"/>
  <c r="P83" i="7"/>
  <c r="P82" i="7" s="1"/>
  <c r="E82" i="7" s="1"/>
  <c r="G82" i="7" s="1"/>
  <c r="H82" i="7" s="1"/>
  <c r="P81" i="7"/>
  <c r="P80" i="7" s="1"/>
  <c r="E80" i="7" s="1"/>
  <c r="P79" i="7"/>
  <c r="P78" i="7" s="1"/>
  <c r="F77" i="7"/>
  <c r="D77" i="7"/>
  <c r="P67" i="7"/>
  <c r="G67" i="7"/>
  <c r="H67" i="7" s="1"/>
  <c r="P66" i="7"/>
  <c r="G66" i="7"/>
  <c r="H66" i="7" s="1"/>
  <c r="P71" i="7"/>
  <c r="P70" i="7"/>
  <c r="P64" i="7"/>
  <c r="P63" i="7"/>
  <c r="P62" i="7"/>
  <c r="P61" i="7"/>
  <c r="P59" i="7"/>
  <c r="G59" i="7"/>
  <c r="H59" i="7" s="1"/>
  <c r="P58" i="7"/>
  <c r="G58" i="7"/>
  <c r="H58" i="7" s="1"/>
  <c r="P57" i="7"/>
  <c r="G57" i="7"/>
  <c r="H57" i="7" s="1"/>
  <c r="P55" i="7"/>
  <c r="G55" i="7"/>
  <c r="H55" i="7" s="1"/>
  <c r="P54" i="7"/>
  <c r="P53" i="7"/>
  <c r="G53" i="7"/>
  <c r="H53" i="7" s="1"/>
  <c r="P52" i="7"/>
  <c r="P51" i="7"/>
  <c r="G51" i="7"/>
  <c r="H51" i="7" s="1"/>
  <c r="P50" i="7"/>
  <c r="P48" i="7"/>
  <c r="P47" i="7" s="1"/>
  <c r="E47" i="7" s="1"/>
  <c r="G48" i="7"/>
  <c r="H48" i="7" s="1"/>
  <c r="F46" i="7"/>
  <c r="D46" i="7"/>
  <c r="P45" i="7"/>
  <c r="G45" i="7"/>
  <c r="H45" i="7" s="1"/>
  <c r="P44" i="7"/>
  <c r="P43" i="7"/>
  <c r="G43" i="7"/>
  <c r="H43" i="7" s="1"/>
  <c r="P42" i="7"/>
  <c r="P41" i="7"/>
  <c r="G41" i="7"/>
  <c r="H41" i="7" s="1"/>
  <c r="P39" i="7"/>
  <c r="P36" i="7"/>
  <c r="P35" i="7"/>
  <c r="P34" i="7"/>
  <c r="F32" i="7"/>
  <c r="D32" i="7"/>
  <c r="P31" i="7"/>
  <c r="G29" i="7"/>
  <c r="H29" i="7" s="1"/>
  <c r="G28" i="7"/>
  <c r="H28" i="7" s="1"/>
  <c r="G27" i="7"/>
  <c r="H27" i="7" s="1"/>
  <c r="G26" i="7"/>
  <c r="H26" i="7" s="1"/>
  <c r="G25" i="7"/>
  <c r="H25" i="7" s="1"/>
  <c r="G23" i="7"/>
  <c r="H23" i="7" s="1"/>
  <c r="P21" i="7"/>
  <c r="P20" i="7"/>
  <c r="P19" i="7"/>
  <c r="P18" i="7"/>
  <c r="P17" i="7"/>
  <c r="P16" i="7"/>
  <c r="P15" i="7"/>
  <c r="P14" i="7"/>
  <c r="P12" i="7"/>
  <c r="AC26" i="7" s="1"/>
  <c r="AC27" i="7" s="1"/>
  <c r="P11" i="7"/>
  <c r="P10" i="7"/>
  <c r="P9" i="7"/>
  <c r="F7" i="7"/>
  <c r="D7" i="7"/>
  <c r="F5" i="7"/>
  <c r="G92" i="6"/>
  <c r="H92" i="6" s="1"/>
  <c r="P91" i="6"/>
  <c r="P90" i="6"/>
  <c r="H90" i="6"/>
  <c r="P88" i="6"/>
  <c r="G88" i="6" s="1"/>
  <c r="H88" i="6" s="1"/>
  <c r="P87" i="6"/>
  <c r="E87" i="6" s="1"/>
  <c r="D86" i="6"/>
  <c r="D85" i="6" s="1"/>
  <c r="F85" i="6"/>
  <c r="P84" i="6"/>
  <c r="E84" i="6" s="1"/>
  <c r="P83" i="6"/>
  <c r="E83" i="6" s="1"/>
  <c r="G83" i="6" s="1"/>
  <c r="H83" i="6" s="1"/>
  <c r="P82" i="6"/>
  <c r="E82" i="6" s="1"/>
  <c r="F81" i="6"/>
  <c r="F80" i="6" s="1"/>
  <c r="D81" i="6"/>
  <c r="D80" i="6" s="1"/>
  <c r="P79" i="6"/>
  <c r="P77" i="6"/>
  <c r="P75" i="6"/>
  <c r="G75" i="6"/>
  <c r="P74" i="6"/>
  <c r="P72" i="6"/>
  <c r="P71" i="6"/>
  <c r="P69" i="6"/>
  <c r="G69" i="6"/>
  <c r="P68" i="6"/>
  <c r="G68" i="6"/>
  <c r="F66" i="6"/>
  <c r="F65" i="6" s="1"/>
  <c r="D66" i="6"/>
  <c r="D65" i="6" s="1"/>
  <c r="P64" i="6"/>
  <c r="P62" i="6"/>
  <c r="P61" i="6"/>
  <c r="P60" i="6"/>
  <c r="P59" i="6"/>
  <c r="H59" i="6"/>
  <c r="P58" i="6"/>
  <c r="G58" i="6"/>
  <c r="H58" i="6" s="1"/>
  <c r="P56" i="6"/>
  <c r="P55" i="6" s="1"/>
  <c r="E55" i="6" s="1"/>
  <c r="G55" i="6" s="1"/>
  <c r="H55" i="6" s="1"/>
  <c r="F54" i="6"/>
  <c r="D54" i="6"/>
  <c r="P53" i="6"/>
  <c r="P52" i="6"/>
  <c r="P51" i="6"/>
  <c r="P50" i="6"/>
  <c r="P48" i="6"/>
  <c r="P47" i="6"/>
  <c r="P46" i="6"/>
  <c r="P44" i="6"/>
  <c r="P43" i="6"/>
  <c r="P42" i="6"/>
  <c r="P41" i="6"/>
  <c r="P39" i="6"/>
  <c r="P38" i="6" s="1"/>
  <c r="E38" i="6" s="1"/>
  <c r="G38" i="6" s="1"/>
  <c r="H38" i="6" s="1"/>
  <c r="F37" i="6"/>
  <c r="D37" i="6"/>
  <c r="P35" i="6"/>
  <c r="P34" i="6" s="1"/>
  <c r="P33" i="6" s="1"/>
  <c r="P32" i="6" s="1"/>
  <c r="F33" i="6"/>
  <c r="F32" i="6" s="1"/>
  <c r="D33" i="6"/>
  <c r="D32" i="6" s="1"/>
  <c r="D27" i="6"/>
  <c r="P25" i="6"/>
  <c r="P24" i="6" s="1"/>
  <c r="E24" i="6" s="1"/>
  <c r="G24" i="6" s="1"/>
  <c r="P23" i="6"/>
  <c r="P22" i="6"/>
  <c r="P20" i="6"/>
  <c r="P18" i="6"/>
  <c r="P17" i="6" s="1"/>
  <c r="E17" i="6" s="1"/>
  <c r="G17" i="6" s="1"/>
  <c r="P16" i="6"/>
  <c r="P14" i="6"/>
  <c r="P13" i="6"/>
  <c r="P12" i="6"/>
  <c r="P11" i="6"/>
  <c r="P10" i="6"/>
  <c r="F8" i="6"/>
  <c r="F7" i="6" s="1"/>
  <c r="D8" i="6"/>
  <c r="D7" i="6" s="1"/>
  <c r="F6" i="6"/>
  <c r="D26" i="6" l="1"/>
  <c r="P68" i="7"/>
  <c r="P307" i="7"/>
  <c r="P33" i="7"/>
  <c r="F36" i="6"/>
  <c r="F27" i="6" s="1"/>
  <c r="F26" i="6" s="1"/>
  <c r="E34" i="6"/>
  <c r="P70" i="6"/>
  <c r="E70" i="6" s="1"/>
  <c r="P178" i="7"/>
  <c r="E178" i="7" s="1"/>
  <c r="G178" i="7" s="1"/>
  <c r="H178" i="7" s="1"/>
  <c r="G155" i="7"/>
  <c r="H155" i="7" s="1"/>
  <c r="P154" i="7"/>
  <c r="P90" i="7"/>
  <c r="P138" i="7"/>
  <c r="E138" i="7" s="1"/>
  <c r="G138" i="7" s="1"/>
  <c r="H138" i="7" s="1"/>
  <c r="P149" i="7"/>
  <c r="E149" i="7" s="1"/>
  <c r="P89" i="6"/>
  <c r="E89" i="6" s="1"/>
  <c r="P49" i="6"/>
  <c r="E49" i="6" s="1"/>
  <c r="G49" i="6" s="1"/>
  <c r="H49" i="6" s="1"/>
  <c r="P45" i="6"/>
  <c r="E45" i="6" s="1"/>
  <c r="G45" i="6" s="1"/>
  <c r="H45" i="6" s="1"/>
  <c r="D36" i="6"/>
  <c r="D6" i="6" s="1"/>
  <c r="P199" i="7"/>
  <c r="E199" i="7" s="1"/>
  <c r="G199" i="7" s="1"/>
  <c r="G287" i="7"/>
  <c r="H287" i="7" s="1"/>
  <c r="G123" i="7"/>
  <c r="H123" i="7" s="1"/>
  <c r="G276" i="7"/>
  <c r="H276" i="7" s="1"/>
  <c r="P129" i="7"/>
  <c r="G259" i="7"/>
  <c r="H259" i="7" s="1"/>
  <c r="P303" i="7"/>
  <c r="E303" i="7" s="1"/>
  <c r="P299" i="7"/>
  <c r="E299" i="7" s="1"/>
  <c r="G84" i="6"/>
  <c r="H84" i="6" s="1"/>
  <c r="G256" i="7"/>
  <c r="H256" i="7" s="1"/>
  <c r="G230" i="7"/>
  <c r="H230" i="7" s="1"/>
  <c r="G245" i="7"/>
  <c r="H245" i="7" s="1"/>
  <c r="G278" i="7"/>
  <c r="H278" i="7" s="1"/>
  <c r="G216" i="7"/>
  <c r="H216" i="7" s="1"/>
  <c r="G252" i="7"/>
  <c r="H252" i="7" s="1"/>
  <c r="G117" i="7"/>
  <c r="H117" i="7" s="1"/>
  <c r="G247" i="7"/>
  <c r="H247" i="7" s="1"/>
  <c r="P40" i="7"/>
  <c r="E40" i="7" s="1"/>
  <c r="G40" i="7" s="1"/>
  <c r="H40" i="7" s="1"/>
  <c r="P112" i="7"/>
  <c r="E112" i="7" s="1"/>
  <c r="P142" i="7"/>
  <c r="P141" i="7" s="1"/>
  <c r="E141" i="7" s="1"/>
  <c r="G141" i="7" s="1"/>
  <c r="H141" i="7" s="1"/>
  <c r="P8" i="7"/>
  <c r="F6" i="7"/>
  <c r="P49" i="7"/>
  <c r="P86" i="7"/>
  <c r="E86" i="7" s="1"/>
  <c r="G86" i="7" s="1"/>
  <c r="H86" i="7" s="1"/>
  <c r="P135" i="7"/>
  <c r="E135" i="7" s="1"/>
  <c r="D84" i="7"/>
  <c r="G240" i="7"/>
  <c r="H240" i="7" s="1"/>
  <c r="E160" i="7"/>
  <c r="G160" i="7" s="1"/>
  <c r="G255" i="7"/>
  <c r="H255" i="7" s="1"/>
  <c r="G218" i="7"/>
  <c r="H218" i="7" s="1"/>
  <c r="G271" i="7"/>
  <c r="H271" i="7" s="1"/>
  <c r="G222" i="7"/>
  <c r="H222" i="7" s="1"/>
  <c r="G266" i="7"/>
  <c r="H266" i="7" s="1"/>
  <c r="G210" i="7"/>
  <c r="H210" i="7" s="1"/>
  <c r="G250" i="7"/>
  <c r="H250" i="7" s="1"/>
  <c r="G273" i="7"/>
  <c r="H273" i="7" s="1"/>
  <c r="P19" i="6"/>
  <c r="E19" i="6" s="1"/>
  <c r="G19" i="6" s="1"/>
  <c r="H19" i="6" s="1"/>
  <c r="P81" i="6"/>
  <c r="P80" i="6" s="1"/>
  <c r="G127" i="7"/>
  <c r="H127" i="7" s="1"/>
  <c r="G244" i="7"/>
  <c r="H244" i="7" s="1"/>
  <c r="G248" i="7"/>
  <c r="H248" i="7" s="1"/>
  <c r="G261" i="7"/>
  <c r="H261" i="7" s="1"/>
  <c r="G207" i="7"/>
  <c r="H207" i="7" s="1"/>
  <c r="G235" i="7"/>
  <c r="H235" i="7" s="1"/>
  <c r="G254" i="7"/>
  <c r="H254" i="7" s="1"/>
  <c r="G265" i="7"/>
  <c r="H265" i="7" s="1"/>
  <c r="G277" i="7"/>
  <c r="H277" i="7" s="1"/>
  <c r="E78" i="7"/>
  <c r="E77" i="7" s="1"/>
  <c r="G77" i="7" s="1"/>
  <c r="H77" i="7" s="1"/>
  <c r="P77" i="7"/>
  <c r="G152" i="7"/>
  <c r="H152" i="7" s="1"/>
  <c r="G225" i="7"/>
  <c r="H225" i="7" s="1"/>
  <c r="G227" i="7"/>
  <c r="H227" i="7" s="1"/>
  <c r="G233" i="7"/>
  <c r="H233" i="7" s="1"/>
  <c r="G242" i="7"/>
  <c r="H242" i="7" s="1"/>
  <c r="G246" i="7"/>
  <c r="H246" i="7" s="1"/>
  <c r="G269" i="7"/>
  <c r="H269" i="7" s="1"/>
  <c r="G285" i="7"/>
  <c r="H285" i="7" s="1"/>
  <c r="G291" i="7"/>
  <c r="H291" i="7" s="1"/>
  <c r="G263" i="7"/>
  <c r="H263" i="7" s="1"/>
  <c r="P28" i="6"/>
  <c r="P27" i="6" s="1"/>
  <c r="P26" i="6" s="1"/>
  <c r="P76" i="6"/>
  <c r="E76" i="6" s="1"/>
  <c r="G215" i="7"/>
  <c r="H215" i="7" s="1"/>
  <c r="G223" i="7"/>
  <c r="H223" i="7" s="1"/>
  <c r="G257" i="7"/>
  <c r="H257" i="7" s="1"/>
  <c r="G267" i="7"/>
  <c r="H267" i="7" s="1"/>
  <c r="G275" i="7"/>
  <c r="H275" i="7" s="1"/>
  <c r="G279" i="7"/>
  <c r="G289" i="7"/>
  <c r="H289" i="7" s="1"/>
  <c r="P57" i="6"/>
  <c r="E57" i="6" s="1"/>
  <c r="E54" i="6" s="1"/>
  <c r="G54" i="6" s="1"/>
  <c r="H54" i="6" s="1"/>
  <c r="P73" i="6"/>
  <c r="E73" i="6" s="1"/>
  <c r="G73" i="6" s="1"/>
  <c r="H73" i="6" s="1"/>
  <c r="P13" i="7"/>
  <c r="E13" i="7" s="1"/>
  <c r="G13" i="7" s="1"/>
  <c r="H13" i="7" s="1"/>
  <c r="P38" i="7"/>
  <c r="E38" i="7" s="1"/>
  <c r="P56" i="7"/>
  <c r="P163" i="7"/>
  <c r="P181" i="7"/>
  <c r="E181" i="7" s="1"/>
  <c r="P187" i="7"/>
  <c r="E187" i="7" s="1"/>
  <c r="G187" i="7" s="1"/>
  <c r="H187" i="7" s="1"/>
  <c r="P9" i="6"/>
  <c r="P67" i="6"/>
  <c r="E67" i="6" s="1"/>
  <c r="P30" i="7"/>
  <c r="P65" i="7"/>
  <c r="E65" i="7" s="1"/>
  <c r="G65" i="7" s="1"/>
  <c r="H65" i="7" s="1"/>
  <c r="P295" i="7"/>
  <c r="E295" i="7" s="1"/>
  <c r="D6" i="7"/>
  <c r="G34" i="6"/>
  <c r="H34" i="6" s="1"/>
  <c r="G214" i="7"/>
  <c r="H214" i="7" s="1"/>
  <c r="P40" i="6"/>
  <c r="G96" i="7"/>
  <c r="H96" i="7" s="1"/>
  <c r="G133" i="7"/>
  <c r="G204" i="7"/>
  <c r="H204" i="7" s="1"/>
  <c r="G212" i="7"/>
  <c r="H212" i="7" s="1"/>
  <c r="G87" i="6"/>
  <c r="H87" i="6" s="1"/>
  <c r="E81" i="6"/>
  <c r="G82" i="6"/>
  <c r="H82" i="6" s="1"/>
  <c r="AC25" i="7"/>
  <c r="AC28" i="7" s="1"/>
  <c r="G47" i="7"/>
  <c r="H47" i="7" s="1"/>
  <c r="G80" i="7"/>
  <c r="H80" i="7" s="1"/>
  <c r="E205" i="7"/>
  <c r="P202" i="7"/>
  <c r="E202" i="7" s="1"/>
  <c r="G202" i="7" s="1"/>
  <c r="H202" i="7" s="1"/>
  <c r="G208" i="7"/>
  <c r="H208" i="7" s="1"/>
  <c r="P60" i="7"/>
  <c r="P167" i="7"/>
  <c r="P172" i="7"/>
  <c r="F84" i="7"/>
  <c r="P192" i="7"/>
  <c r="P93" i="7"/>
  <c r="P125" i="7"/>
  <c r="E125" i="7" s="1"/>
  <c r="P8" i="6" l="1"/>
  <c r="P7" i="6" s="1"/>
  <c r="E9" i="6"/>
  <c r="G70" i="6"/>
  <c r="H70" i="6" s="1"/>
  <c r="J23" i="7"/>
  <c r="P23" i="7" s="1"/>
  <c r="P22" i="7" s="1"/>
  <c r="E22" i="7" s="1"/>
  <c r="G22" i="7" s="1"/>
  <c r="H22" i="7" s="1"/>
  <c r="J28" i="7"/>
  <c r="J25" i="7"/>
  <c r="P25" i="7" s="1"/>
  <c r="G307" i="7"/>
  <c r="H307" i="7" s="1"/>
  <c r="E163" i="7"/>
  <c r="E162" i="7" s="1"/>
  <c r="G162" i="7" s="1"/>
  <c r="H162" i="7" s="1"/>
  <c r="P162" i="7"/>
  <c r="P54" i="6"/>
  <c r="E129" i="7"/>
  <c r="P111" i="7"/>
  <c r="E111" i="7" s="1"/>
  <c r="G111" i="7" s="1"/>
  <c r="H111" i="7" s="1"/>
  <c r="E8" i="7"/>
  <c r="G8" i="7" s="1"/>
  <c r="H8" i="7" s="1"/>
  <c r="G57" i="6"/>
  <c r="H57" i="6" s="1"/>
  <c r="P298" i="7"/>
  <c r="E33" i="6"/>
  <c r="G33" i="6" s="1"/>
  <c r="H33" i="6" s="1"/>
  <c r="P148" i="7"/>
  <c r="H303" i="7"/>
  <c r="E90" i="7"/>
  <c r="G90" i="7" s="1"/>
  <c r="H90" i="7" s="1"/>
  <c r="D5" i="7"/>
  <c r="P98" i="7"/>
  <c r="E98" i="7" s="1"/>
  <c r="G98" i="7" s="1"/>
  <c r="H98" i="7" s="1"/>
  <c r="G135" i="7"/>
  <c r="H135" i="7" s="1"/>
  <c r="G149" i="7"/>
  <c r="H149" i="7" s="1"/>
  <c r="E148" i="7"/>
  <c r="G148" i="7" s="1"/>
  <c r="H148" i="7" s="1"/>
  <c r="G89" i="6"/>
  <c r="H89" i="6" s="1"/>
  <c r="P66" i="6"/>
  <c r="E66" i="6" s="1"/>
  <c r="P86" i="6"/>
  <c r="P85" i="6" s="1"/>
  <c r="E86" i="6"/>
  <c r="P294" i="7"/>
  <c r="P85" i="7"/>
  <c r="P46" i="7"/>
  <c r="P132" i="7"/>
  <c r="E132" i="7" s="1"/>
  <c r="G132" i="7" s="1"/>
  <c r="H132" i="7" s="1"/>
  <c r="G303" i="7"/>
  <c r="P32" i="7"/>
  <c r="P180" i="7"/>
  <c r="E49" i="7"/>
  <c r="G49" i="7" s="1"/>
  <c r="H49" i="7" s="1"/>
  <c r="E28" i="6"/>
  <c r="E27" i="6" s="1"/>
  <c r="E30" i="7"/>
  <c r="G30" i="7" s="1"/>
  <c r="H30" i="7" s="1"/>
  <c r="E33" i="7"/>
  <c r="G33" i="7" s="1"/>
  <c r="H33" i="7" s="1"/>
  <c r="G67" i="6"/>
  <c r="H67" i="6" s="1"/>
  <c r="G76" i="6"/>
  <c r="H76" i="6" s="1"/>
  <c r="G38" i="7"/>
  <c r="H38" i="7" s="1"/>
  <c r="E154" i="7"/>
  <c r="G154" i="7" s="1"/>
  <c r="H154" i="7" s="1"/>
  <c r="E56" i="7"/>
  <c r="G56" i="7" s="1"/>
  <c r="H56" i="7" s="1"/>
  <c r="G78" i="7"/>
  <c r="H78" i="7" s="1"/>
  <c r="G125" i="7"/>
  <c r="H125" i="7" s="1"/>
  <c r="P171" i="7"/>
  <c r="E172" i="7"/>
  <c r="E180" i="7"/>
  <c r="G180" i="7" s="1"/>
  <c r="H180" i="7" s="1"/>
  <c r="G181" i="7"/>
  <c r="H181" i="7" s="1"/>
  <c r="G112" i="7"/>
  <c r="H112" i="7" s="1"/>
  <c r="P191" i="7"/>
  <c r="E192" i="7"/>
  <c r="E167" i="7"/>
  <c r="P166" i="7"/>
  <c r="E166" i="7" s="1"/>
  <c r="G166" i="7" s="1"/>
  <c r="H166" i="7" s="1"/>
  <c r="E60" i="7"/>
  <c r="G205" i="7"/>
  <c r="H205" i="7" s="1"/>
  <c r="E298" i="7"/>
  <c r="G298" i="7" s="1"/>
  <c r="H298" i="7" s="1"/>
  <c r="G299" i="7"/>
  <c r="H299" i="7" s="1"/>
  <c r="E68" i="7"/>
  <c r="G68" i="7" s="1"/>
  <c r="H68" i="7" s="1"/>
  <c r="G81" i="6"/>
  <c r="H81" i="6" s="1"/>
  <c r="E80" i="6"/>
  <c r="G80" i="6" s="1"/>
  <c r="H80" i="6" s="1"/>
  <c r="E32" i="7"/>
  <c r="G32" i="7" s="1"/>
  <c r="H32" i="7" s="1"/>
  <c r="E93" i="7"/>
  <c r="E294" i="7"/>
  <c r="G294" i="7" s="1"/>
  <c r="H294" i="7" s="1"/>
  <c r="G295" i="7"/>
  <c r="H295" i="7" s="1"/>
  <c r="E40" i="6"/>
  <c r="P37" i="6"/>
  <c r="G129" i="7" l="1"/>
  <c r="H129" i="7" s="1"/>
  <c r="P36" i="6"/>
  <c r="G163" i="7"/>
  <c r="H163" i="7" s="1"/>
  <c r="J29" i="7"/>
  <c r="P29" i="7" s="1"/>
  <c r="P28" i="7"/>
  <c r="E8" i="6"/>
  <c r="G8" i="6" s="1"/>
  <c r="H8" i="6" s="1"/>
  <c r="G9" i="6"/>
  <c r="H9" i="6" s="1"/>
  <c r="G28" i="6"/>
  <c r="H28" i="6" s="1"/>
  <c r="E32" i="6"/>
  <c r="G32" i="6" s="1"/>
  <c r="H32" i="6" s="1"/>
  <c r="P65" i="6"/>
  <c r="J26" i="7"/>
  <c r="P26" i="7" s="1"/>
  <c r="J27" i="7" s="1"/>
  <c r="P27" i="7" s="1"/>
  <c r="E85" i="6"/>
  <c r="G86" i="6"/>
  <c r="G66" i="6"/>
  <c r="H66" i="6" s="1"/>
  <c r="E65" i="6"/>
  <c r="G65" i="6" s="1"/>
  <c r="H65" i="6" s="1"/>
  <c r="G167" i="7"/>
  <c r="H167" i="7" s="1"/>
  <c r="G27" i="6"/>
  <c r="H27" i="6" s="1"/>
  <c r="E26" i="6"/>
  <c r="G26" i="6" s="1"/>
  <c r="H26" i="6" s="1"/>
  <c r="G93" i="7"/>
  <c r="H93" i="7" s="1"/>
  <c r="E85" i="7"/>
  <c r="G40" i="6"/>
  <c r="H40" i="6" s="1"/>
  <c r="E37" i="6"/>
  <c r="G60" i="7"/>
  <c r="H60" i="7" s="1"/>
  <c r="E46" i="7"/>
  <c r="G46" i="7" s="1"/>
  <c r="H46" i="7" s="1"/>
  <c r="E191" i="7"/>
  <c r="G191" i="7" s="1"/>
  <c r="H191" i="7" s="1"/>
  <c r="G192" i="7"/>
  <c r="H192" i="7" s="1"/>
  <c r="E171" i="7"/>
  <c r="G171" i="7" s="1"/>
  <c r="H171" i="7" s="1"/>
  <c r="G172" i="7"/>
  <c r="H172" i="7" s="1"/>
  <c r="P84" i="7"/>
  <c r="P6" i="6" l="1"/>
  <c r="E7" i="6"/>
  <c r="G7" i="6" s="1"/>
  <c r="H7" i="6" s="1"/>
  <c r="P24" i="7"/>
  <c r="E24" i="7" s="1"/>
  <c r="H86" i="6"/>
  <c r="G85" i="6"/>
  <c r="H85" i="6" s="1"/>
  <c r="G85" i="7"/>
  <c r="H85" i="7" s="1"/>
  <c r="E84" i="7"/>
  <c r="G84" i="7" s="1"/>
  <c r="H84" i="7" s="1"/>
  <c r="G37" i="6"/>
  <c r="H37" i="6" s="1"/>
  <c r="E36" i="6"/>
  <c r="G36" i="6" s="1"/>
  <c r="H36" i="6" s="1"/>
  <c r="P7" i="7" l="1"/>
  <c r="P6" i="7" s="1"/>
  <c r="P5" i="7" s="1"/>
  <c r="G24" i="7"/>
  <c r="H24" i="7" s="1"/>
  <c r="E7" i="7"/>
  <c r="E6" i="6"/>
  <c r="G6" i="6" s="1"/>
  <c r="H6" i="6" s="1"/>
  <c r="E6" i="7" l="1"/>
  <c r="G7" i="7"/>
  <c r="H7" i="7" s="1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<sst xmlns="http://schemas.openxmlformats.org/spreadsheetml/2006/main" count="2230" uniqueCount="466">
  <si>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</si>
  <si>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</si>
  <si>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</si>
  <si>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</si>
  <si>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</si>
  <si>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시설인사위원회 회의비</t>
  </si>
  <si>
    <t>시설전출금
(후원금)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</si>
  <si>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</si>
  <si>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</si>
  <si>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</si>
  <si>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</si>
  <si>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</si>
  <si>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</si>
  <si>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</si>
  <si>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</si>
  <si>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</si>
  <si>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</si>
  <si>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</si>
  <si>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바보의나눔 지원금</t>
  </si>
  <si>
    <t>신풍오피스텔 임대</t>
  </si>
  <si>
    <t>시흥4동성당데이</t>
  </si>
  <si>
    <t>사제 사회보험금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</si>
  <si>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</si>
  <si>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</si>
  <si>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</si>
  <si>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</si>
  <si>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</si>
  <si>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기본재산 매각수입</t>
  </si>
  <si>
    <t>사회사목국 연계</t>
  </si>
  <si>
    <t>2) 재산조성비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</si>
  <si>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</si>
  <si>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</si>
  <si>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</si>
  <si>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</si>
  <si>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</si>
  <si>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</si>
  <si>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</si>
  <si>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</si>
  <si>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</si>
  <si>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4) 과년도지출</t>
  </si>
  <si>
    <t>한국사회적기업진흥원</t>
  </si>
  <si>
    <t>사회보험
부담금</t>
  </si>
  <si>
    <t>비둘기직업적응훈련시설</t>
  </si>
  <si>
    <t>한빛장애인주간보호</t>
  </si>
  <si>
    <t>대림절 저금통(개인)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</si>
  <si>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</si>
  <si>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</si>
  <si>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</si>
  <si>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</si>
  <si>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</si>
  <si>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경동제약 지정기탁사업</t>
  </si>
  <si>
    <t>8) 예비비 및 기타</t>
  </si>
  <si>
    <t>서초3단지어린이집</t>
  </si>
  <si>
    <t>장학사업
지정후원금</t>
  </si>
  <si>
    <t>바오로교실작업장</t>
  </si>
  <si>
    <t>7) 시설전출금</t>
  </si>
  <si>
    <t xml:space="preserve"> 카리타스정체성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</si>
  <si>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</si>
  <si>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</si>
  <si>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</si>
  <si>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</si>
  <si>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</si>
  <si>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사순절 저금통(개인)</t>
  </si>
  <si>
    <t>동화나라어린이집</t>
  </si>
  <si>
    <t>한마음한몸
지정후원금</t>
  </si>
  <si>
    <t>취약계층지원사업</t>
  </si>
  <si>
    <t xml:space="preserve"> - 특별업무점검비</t>
  </si>
  <si>
    <t>카리타스정체성과정</t>
  </si>
  <si>
    <t>모범본당 운영지원</t>
  </si>
  <si>
    <t>너울자리공동생활</t>
  </si>
  <si>
    <t>생명존중
문화만들기</t>
  </si>
  <si>
    <t>헬렌켈러공동생활2</t>
  </si>
  <si>
    <t>시범본당 운영지원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</si>
  <si>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</si>
  <si>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</si>
  <si>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</si>
  <si>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</si>
  <si>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</si>
  <si>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샛별지역아동센터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</si>
  <si>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</si>
  <si>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</si>
  <si>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</si>
  <si>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</si>
  <si>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</si>
  <si>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</si>
  <si>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사례집 제작 및 배포</t>
  </si>
  <si>
    <t>본당사회복지활동지원</t>
  </si>
  <si>
    <t>회계감사및 세무조정료</t>
  </si>
  <si>
    <t>특별수당(설,추석)</t>
  </si>
  <si>
    <t>직원 회의비 등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</si>
  <si>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</si>
  <si>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</si>
  <si>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</si>
  <si>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</si>
  <si>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</si>
  <si>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</si>
  <si>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사무용  비품구입</t>
  </si>
  <si>
    <t>운영위원 회의비</t>
  </si>
  <si>
    <t>지정기탁시설지원 등</t>
  </si>
  <si>
    <t>꿈손단기보호시설</t>
  </si>
  <si>
    <t>통합운영위원회회의비</t>
  </si>
  <si>
    <t>시설방문 및 축하금</t>
  </si>
  <si>
    <t>전문인력양성및 캠페인</t>
  </si>
  <si>
    <t>서로함께공동생활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</si>
  <si>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</si>
  <si>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</si>
  <si>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</si>
  <si>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</si>
  <si>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</si>
  <si>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</si>
  <si>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</si>
  <si>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</si>
  <si>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사랑의손길 지원사업</t>
  </si>
  <si>
    <t>본당시설 공동사업지원</t>
  </si>
  <si>
    <t>사랑의손길(서울주보)</t>
  </si>
  <si>
    <t>제2조 1. 세입ㆍ세출의 명세는 세입ㆍ세출 예산서와 같다.</t>
  </si>
  <si>
    <t>장애인의날행사비 5,000천원+바오로교실기능보강 4,000천원</t>
  </si>
  <si>
    <t>세출경비가 부족할 경우에는 사회복지법인 및 사회복지시설 재무회계규칙 제 16조에 의거하여 예산을 전용할 수 있다.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</si>
  <si>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</si>
  <si>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</si>
  <si>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</si>
  <si>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</si>
  <si>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</si>
  <si>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</si>
  <si>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</si>
  <si>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</si>
  <si>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</si>
  <si>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</si>
  <si>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</si>
  <si>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</si>
  <si>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</si>
  <si>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</si>
  <si>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</si>
  <si>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</si>
  <si>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</si>
  <si>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</si>
  <si>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</si>
  <si>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>근속</t>
  </si>
  <si>
    <t xml:space="preserve"> =</t>
  </si>
  <si>
    <t>직책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</si>
  <si>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</si>
  <si>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</si>
  <si>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</si>
  <si>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</si>
  <si>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</si>
  <si>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</si>
  <si>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</si>
  <si>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</si>
  <si>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</si>
  <si>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</si>
  <si>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</si>
  <si>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</si>
  <si>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</si>
  <si>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</si>
  <si>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</si>
  <si>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</si>
  <si>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</si>
  <si>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>직무</t>
  </si>
  <si>
    <t xml:space="preserve"> </t>
  </si>
  <si>
    <t>계</t>
  </si>
  <si>
    <t>잡수입</t>
  </si>
  <si>
    <t>급식비</t>
  </si>
  <si>
    <t>관</t>
  </si>
  <si>
    <t>CMS</t>
  </si>
  <si>
    <t>재산</t>
  </si>
  <si>
    <t>합계</t>
  </si>
  <si>
    <t>소계</t>
  </si>
  <si>
    <t>법정</t>
  </si>
  <si>
    <t>총계</t>
  </si>
  <si>
    <t>비율</t>
  </si>
  <si>
    <t>여비</t>
  </si>
  <si>
    <t>인건비</t>
  </si>
  <si>
    <t xml:space="preserve">  </t>
  </si>
  <si>
    <t>본봉</t>
  </si>
  <si>
    <t>반환금</t>
  </si>
  <si>
    <t>천원</t>
  </si>
  <si>
    <t>양초사업 대여금 상환 관련 수입</t>
  </si>
  <si>
    <t xml:space="preserve">3. 세출의 내용은 다음과 같다. </t>
  </si>
  <si>
    <t>동자동 임대수입(1층,지하층)</t>
  </si>
  <si>
    <t>성무활동비 및 미사예물(사제)</t>
  </si>
  <si>
    <t xml:space="preserve">2012년 11월 집행액(C)
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</si>
  <si>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</si>
  <si>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</si>
  <si>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</si>
  <si>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</si>
  <si>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</si>
  <si>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5) 후원금</t>
  </si>
  <si>
    <t>성동노인복지관</t>
  </si>
  <si>
    <t>정근수당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</si>
  <si>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</si>
  <si>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</si>
  <si>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</si>
  <si>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</si>
  <si>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</si>
  <si>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</si>
  <si>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</si>
  <si>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</si>
  <si>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요안나장학회</t>
  </si>
  <si>
    <t>한마음지원금</t>
  </si>
  <si>
    <t>성모영보장학회</t>
  </si>
  <si>
    <t>해뜨락어린이집</t>
  </si>
  <si>
    <t>자부담이월금</t>
  </si>
  <si>
    <t>5) 잡지출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</si>
  <si>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</si>
  <si>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</si>
  <si>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</si>
  <si>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</si>
  <si>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</si>
  <si>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</si>
  <si>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장학금지급</t>
  </si>
  <si>
    <t>6) 상환금</t>
  </si>
  <si>
    <t>전문가 자문비</t>
  </si>
  <si>
    <t>모금관리</t>
  </si>
  <si>
    <t>천호동성당데이</t>
  </si>
  <si>
    <t>2) 사업수입</t>
  </si>
  <si>
    <t>말가리다장학회</t>
  </si>
  <si>
    <t>동작종합복지관</t>
  </si>
  <si>
    <t>한빛어린이집</t>
  </si>
  <si>
    <t>유락종합복지관</t>
  </si>
  <si>
    <t>금전출납</t>
  </si>
  <si>
    <t>보조금수입</t>
  </si>
  <si>
    <t>교육사업수입</t>
  </si>
  <si>
    <t>후원자관리</t>
  </si>
  <si>
    <t>지로후원</t>
  </si>
  <si>
    <t>송화어린이집</t>
  </si>
  <si>
    <t>홍보출판</t>
  </si>
  <si>
    <t>시설장비유지비</t>
  </si>
  <si>
    <t>구파발성당데이</t>
  </si>
  <si>
    <t>교육자문위원회</t>
  </si>
  <si>
    <t>차량유류대</t>
  </si>
  <si>
    <t>상계동성당데이</t>
  </si>
  <si>
    <t>기타재산수입</t>
  </si>
  <si>
    <t>고용보험</t>
  </si>
  <si>
    <t>퇴직연금</t>
  </si>
  <si>
    <t>시설지정기탁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</si>
  <si>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</si>
  <si>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</si>
  <si>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</si>
  <si>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</si>
  <si>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</si>
  <si>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</si>
  <si>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</si>
  <si>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</si>
  <si>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</si>
  <si>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</si>
  <si>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3) 사업비</t>
  </si>
  <si>
    <t>햇빛자리</t>
  </si>
  <si>
    <t>지역사회모금</t>
  </si>
  <si>
    <t>4) 전입금</t>
  </si>
  <si>
    <t>고척동성당데이</t>
  </si>
  <si>
    <t>1) 사무비</t>
  </si>
  <si>
    <t>재가특별지원</t>
  </si>
  <si>
    <t>정기업무점검</t>
  </si>
  <si>
    <t>후원자통합관리</t>
  </si>
  <si>
    <t>공모지원사업</t>
  </si>
  <si>
    <t>행운동성당데이</t>
  </si>
  <si>
    <t>한가족장학회</t>
  </si>
  <si>
    <t>3) 보조금</t>
  </si>
  <si>
    <t>2.  세 출</t>
  </si>
  <si>
    <t>누림학교</t>
  </si>
  <si>
    <t>계좌입금 후원</t>
  </si>
  <si>
    <t>등록단체지원금</t>
  </si>
  <si>
    <t>신망애공동생활</t>
  </si>
  <si>
    <t>6) 이월금</t>
  </si>
  <si>
    <t>연구사업</t>
  </si>
  <si>
    <t>중곡종합복지관</t>
  </si>
  <si>
    <t>본당사회</t>
  </si>
  <si>
    <t>벗들의집</t>
  </si>
  <si>
    <t>혜화동데이케어</t>
  </si>
  <si>
    <t>본당방문모금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</si>
  <si>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</si>
  <si>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</si>
  <si>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</si>
  <si>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</si>
  <si>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</si>
  <si>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</si>
  <si>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</si>
  <si>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시설장연수</t>
  </si>
  <si>
    <t>출장 여비</t>
  </si>
  <si>
    <t>성과공유회</t>
  </si>
  <si>
    <t>금호동성당데이</t>
  </si>
  <si>
    <t>우리집공동체</t>
  </si>
  <si>
    <t>물품후원탁송료</t>
  </si>
  <si>
    <t>우리들의공부방</t>
  </si>
  <si>
    <t>일반모금</t>
  </si>
  <si>
    <t>운영사업</t>
  </si>
  <si>
    <t>재산매각수입</t>
  </si>
  <si>
    <t>차년도이월금</t>
  </si>
  <si>
    <t>업무점검</t>
  </si>
  <si>
    <t>사랑손주간보호</t>
  </si>
  <si>
    <t>예비비
및기타</t>
  </si>
  <si>
    <t>기말수당</t>
  </si>
  <si>
    <t>조정수당</t>
  </si>
  <si>
    <t>지원사업</t>
  </si>
  <si>
    <t>대외협력
사업</t>
  </si>
  <si>
    <t>홈페이지 관리</t>
  </si>
  <si>
    <t>사업수입</t>
  </si>
  <si>
    <t>종합부동산세</t>
  </si>
  <si>
    <t>CMS관리비</t>
  </si>
  <si>
    <t>직원변동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</si>
  <si>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</si>
  <si>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</si>
  <si>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</si>
  <si>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</si>
  <si>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</si>
  <si>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</si>
  <si>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</si>
  <si>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</si>
  <si>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</si>
  <si>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</si>
  <si>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</si>
  <si>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자동차보험모금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</si>
  <si>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</si>
  <si>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</si>
  <si>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</si>
  <si>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</si>
  <si>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</si>
  <si>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</si>
  <si>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</si>
  <si>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 xml:space="preserve"> 자기개발과정</t>
  </si>
  <si>
    <t>방배어린이집</t>
  </si>
  <si>
    <t>1.  세 입</t>
  </si>
  <si>
    <t>신망애의집</t>
  </si>
  <si>
    <t>직책보조비</t>
  </si>
  <si>
    <t xml:space="preserve">제1조 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</si>
  <si>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</si>
  <si>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</si>
  <si>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</si>
  <si>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</si>
  <si>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</si>
  <si>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</si>
  <si>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</si>
  <si>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7) 잡수입</t>
  </si>
  <si>
    <t>본당지원금</t>
  </si>
  <si>
    <t>사회조사</t>
  </si>
  <si>
    <t>차량유지비</t>
  </si>
  <si>
    <t>기타 시설비</t>
  </si>
  <si>
    <t>諸유지보수비</t>
  </si>
  <si>
    <t>인터넷사용료</t>
  </si>
  <si>
    <t>기관운영비</t>
  </si>
  <si>
    <t>본당모금사업</t>
  </si>
  <si>
    <t>사랑의집</t>
  </si>
  <si>
    <t>교육사업</t>
  </si>
  <si>
    <t>세실리아장학금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</si>
  <si>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</si>
  <si>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</si>
  <si>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</si>
  <si>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</si>
  <si>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</si>
  <si>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</si>
  <si>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장학금 지급</t>
  </si>
  <si>
    <t>지역사회</t>
  </si>
  <si>
    <t>선교200주년</t>
  </si>
  <si>
    <t>사업평가회</t>
  </si>
  <si>
    <t>총  계</t>
  </si>
  <si>
    <t>제세공과금</t>
  </si>
  <si>
    <t>교구지원금</t>
  </si>
  <si>
    <t>기타잡수입</t>
  </si>
  <si>
    <t>모금사업</t>
  </si>
  <si>
    <t>1) 재산수입</t>
  </si>
  <si>
    <t>증감(B-A)</t>
  </si>
  <si>
    <t>교구보조금</t>
  </si>
  <si>
    <t>명일동성당지원금(성가정노인복지관지원)</t>
  </si>
  <si>
    <t>2. 세입의 주요 재원은 다음과 같다.</t>
  </si>
  <si>
    <t>사무실 및 교육실 임차료</t>
  </si>
  <si>
    <t>선교200주년장학금 지정후원</t>
  </si>
  <si>
    <t>장학금지급(1~12월)</t>
  </si>
  <si>
    <t>성모영보장학사업 지정후원</t>
  </si>
  <si>
    <t>자동차세 및 자동차보험료</t>
  </si>
  <si>
    <t>직원교육 및 연수(내외부)</t>
  </si>
  <si>
    <t>말가리다장학기금 이자수입</t>
  </si>
  <si>
    <t>다과구입 등 기타회의비</t>
  </si>
  <si>
    <t>요안나장학기금 이자수입</t>
  </si>
  <si>
    <t xml:space="preserve">본당사회복지자문위원회 </t>
  </si>
  <si>
    <t>사업계획서, 보고서 발간</t>
  </si>
  <si>
    <t>전자지급결제대행 수수료</t>
  </si>
  <si>
    <t>등기,평가, 중개수수료 등</t>
  </si>
  <si>
    <t xml:space="preserve"> - 점검단교육비및 평가회비</t>
  </si>
  <si>
    <t>동자동 임대수입(4층)</t>
  </si>
  <si>
    <t>본당 자원봉사 
관리및 운영</t>
  </si>
  <si>
    <t>특별수당(부활,휴가,성탄)</t>
  </si>
  <si>
    <t>자선주일(대림)2차헌금</t>
  </si>
  <si>
    <t>온라인 홍보컨텐츠 구입</t>
  </si>
  <si>
    <t>성지주일(사순)2차헌금</t>
  </si>
  <si>
    <t>통신사 기지국 임대수입</t>
  </si>
  <si>
    <t>사회복지사목 시범본당 운영</t>
  </si>
  <si>
    <t>혼배기부 홍보지 제작비</t>
  </si>
  <si>
    <t>수탁종료시설 지원금 등</t>
  </si>
  <si>
    <t>사회복지회 사제 급여 지원금</t>
  </si>
  <si>
    <t>성모영보장학기금  이자수입</t>
  </si>
  <si>
    <t>홍보대사 활동 및 관리</t>
  </si>
  <si>
    <t>통합네트워크시스템 유지비</t>
  </si>
  <si>
    <t>모금 캠페인(장학금 등)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</si>
  <si>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</si>
  <si>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</si>
  <si>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</si>
  <si>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</si>
  <si>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</si>
  <si>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</si>
  <si>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</si>
  <si>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기타관리비(신청서 제작 등)</t>
  </si>
  <si>
    <t xml:space="preserve"> 특별과정(가톨릭에코연대)</t>
  </si>
  <si>
    <t>한국종사협, 서복연 등</t>
  </si>
  <si>
    <t>예다움보듬이나눔이어린이집</t>
  </si>
  <si>
    <t>취약계층 (긴급)지원사업</t>
  </si>
  <si>
    <t>기쁜우리월드소송관련비 지원</t>
  </si>
  <si>
    <t>법인 안전보건비용</t>
    <phoneticPr fontId="6" type="noConversion"/>
  </si>
  <si>
    <t>종사자
교육비</t>
    <phoneticPr fontId="6" type="noConversion"/>
  </si>
  <si>
    <t>자기개발과정</t>
    <phoneticPr fontId="6" type="noConversion"/>
  </si>
  <si>
    <t>특별과정</t>
    <phoneticPr fontId="6" type="noConversion"/>
  </si>
  <si>
    <t>시설 안전보건예산</t>
    <phoneticPr fontId="6" type="noConversion"/>
  </si>
  <si>
    <t>화</t>
  </si>
  <si>
    <t>원</t>
    <phoneticPr fontId="6" type="noConversion"/>
  </si>
  <si>
    <t>사업비</t>
    <phoneticPr fontId="6" type="noConversion"/>
  </si>
  <si>
    <t>시설전출금+시설전출후원금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</si>
  <si>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</si>
  <si>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</si>
  <si>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6" type="noConversion"/>
  </si>
  <si>
    <t>노키즈존동화책 제작 등</t>
    <phoneticPr fontId="6" type="noConversion"/>
  </si>
  <si>
    <t>작가 집필료 및 평가회비</t>
    <phoneticPr fontId="6" type="noConversion"/>
  </si>
  <si>
    <t>성모어린이집</t>
    <phoneticPr fontId="6" type="noConversion"/>
  </si>
  <si>
    <t>야근 식대</t>
    <phoneticPr fontId="6" type="noConversion"/>
  </si>
  <si>
    <t>회</t>
    <phoneticPr fontId="6" type="noConversion"/>
  </si>
  <si>
    <t>원</t>
    <phoneticPr fontId="6" type="noConversion"/>
  </si>
  <si>
    <t>사순절 저금통 모금</t>
    <phoneticPr fontId="6" type="noConversion"/>
  </si>
  <si>
    <t>대림절 저금통 모금</t>
    <phoneticPr fontId="6" type="noConversion"/>
  </si>
  <si>
    <t>사순절/대림절 저금통 수거 출장비</t>
    <phoneticPr fontId="6" type="noConversion"/>
  </si>
  <si>
    <t>서울주보 등 홍보</t>
    <phoneticPr fontId="6" type="noConversion"/>
  </si>
  <si>
    <t>홍보굿즈 등 제작</t>
    <phoneticPr fontId="6" type="noConversion"/>
  </si>
  <si>
    <t>직원 경조사비</t>
    <phoneticPr fontId="6" type="noConversion"/>
  </si>
  <si>
    <t>장기근속포상금</t>
    <phoneticPr fontId="6" type="noConversion"/>
  </si>
  <si>
    <t>기타후생비(상해보험, 치료비 등)</t>
    <phoneticPr fontId="6" type="noConversion"/>
  </si>
  <si>
    <t>회</t>
    <phoneticPr fontId="6" type="noConversion"/>
  </si>
  <si>
    <t>신년인사회 등 행사비</t>
    <phoneticPr fontId="6" type="noConversion"/>
  </si>
  <si>
    <t>곳</t>
    <phoneticPr fontId="6" type="noConversion"/>
  </si>
  <si>
    <t>시설전출금+장애인고용장려금</t>
    <phoneticPr fontId="6" type="noConversion"/>
  </si>
  <si>
    <t>월</t>
    <phoneticPr fontId="6" type="noConversion"/>
  </si>
  <si>
    <t>2022년한마음지원금 잔액반환 등</t>
    <phoneticPr fontId="6" type="noConversion"/>
  </si>
  <si>
    <t xml:space="preserve">시설 임대보증금(보조금) 반환 </t>
    <phoneticPr fontId="6" type="noConversion"/>
  </si>
  <si>
    <t>.</t>
    <phoneticPr fontId="6" type="noConversion"/>
  </si>
  <si>
    <t>김베드로장학기금 이자</t>
    <phoneticPr fontId="6" type="noConversion"/>
  </si>
  <si>
    <t>번동건물 임대료</t>
    <phoneticPr fontId="6" type="noConversion"/>
  </si>
  <si>
    <t>대상별 지정후원등</t>
    <phoneticPr fontId="6" type="noConversion"/>
  </si>
  <si>
    <t>2022년 법인세 등 환급</t>
    <phoneticPr fontId="6" type="noConversion"/>
  </si>
  <si>
    <t>번동성당 사회복지사업비 지원</t>
    <phoneticPr fontId="6" type="noConversion"/>
  </si>
  <si>
    <t xml:space="preserve">제3조 </t>
    <phoneticPr fontId="6" type="noConversion"/>
  </si>
  <si>
    <t xml:space="preserve">직영수탁시설장 근조기운영 </t>
    <phoneticPr fontId="6" type="noConversion"/>
  </si>
  <si>
    <t>사업비</t>
    <phoneticPr fontId="6" type="noConversion"/>
  </si>
  <si>
    <t>전출금</t>
    <phoneticPr fontId="6" type="noConversion"/>
  </si>
  <si>
    <t>직책보조비</t>
    <phoneticPr fontId="6" type="noConversion"/>
  </si>
  <si>
    <t>서울가톨릭사회복지회 2023년 제2차 추가경정 세입·세출 예산</t>
    <phoneticPr fontId="6" type="noConversion"/>
  </si>
  <si>
    <t>2023년2차
추경예산(B)</t>
    <phoneticPr fontId="6" type="noConversion"/>
  </si>
  <si>
    <t>2023년 1차
추경예산(A)</t>
    <phoneticPr fontId="6" type="noConversion"/>
  </si>
  <si>
    <t>2023년1차
추경예산(A)</t>
    <phoneticPr fontId="6" type="noConversion"/>
  </si>
  <si>
    <t>대부료 등</t>
    <phoneticPr fontId="6" type="noConversion"/>
  </si>
  <si>
    <t>가톨릭사랑평화의집</t>
    <phoneticPr fontId="6" type="noConversion"/>
  </si>
  <si>
    <t>시설전출금</t>
    <phoneticPr fontId="6" type="noConversion"/>
  </si>
  <si>
    <t>신규</t>
    <phoneticPr fontId="6" type="noConversion"/>
  </si>
  <si>
    <t>2023년  제2차 추가경정예산 총칙</t>
    <phoneticPr fontId="6" type="noConversion"/>
  </si>
  <si>
    <t>사순절/대림절 모금 간담회</t>
    <phoneticPr fontId="6" type="noConversion"/>
  </si>
  <si>
    <t>재난재해 지원</t>
    <phoneticPr fontId="6" type="noConversion"/>
  </si>
  <si>
    <t>온라인모금(신한아름인)</t>
    <phoneticPr fontId="6" type="noConversion"/>
  </si>
  <si>
    <t>대</t>
    <phoneticPr fontId="6" type="noConversion"/>
  </si>
  <si>
    <t>다이어리 등 제작</t>
    <phoneticPr fontId="6" type="noConversion"/>
  </si>
  <si>
    <t>사회복지법인 서울가톨릭사회복지회의  2023년  제2차 추가경정예산 세입 · 세출예산액은 각각10,093,535천원이며</t>
    <phoneticPr fontId="6" type="noConversion"/>
  </si>
  <si>
    <t>2023년 제1차 추가경정예산 대비 6.6%  증가하였다.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</si>
</sst>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  <numFmt numFmtId="186" formatCode="_-* #,##0.0_-;\-* #,##0.0_-;_-* &quot;-&quot;?_-;_-@_-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60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3" fontId="14" fillId="0" borderId="0" xfId="2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3" fontId="15" fillId="0" borderId="5" xfId="2" applyNumberFormat="1" applyFont="1" applyBorder="1" applyAlignment="1">
      <alignment horizontal="center" vertical="center"/>
    </xf>
    <xf numFmtId="180" fontId="15" fillId="0" borderId="5" xfId="2" applyNumberFormat="1" applyFont="1" applyBorder="1" applyAlignment="1">
      <alignment horizontal="center" vertical="center"/>
    </xf>
    <xf numFmtId="41" fontId="15" fillId="0" borderId="29" xfId="2" applyFont="1" applyBorder="1" applyAlignment="1">
      <alignment horizontal="center" vertical="center"/>
    </xf>
    <xf numFmtId="41" fontId="15" fillId="0" borderId="30" xfId="4" applyFont="1" applyBorder="1" applyAlignment="1">
      <alignment horizontal="center" vertical="center"/>
    </xf>
    <xf numFmtId="3" fontId="15" fillId="0" borderId="29" xfId="2" applyNumberFormat="1" applyFont="1" applyBorder="1" applyAlignment="1">
      <alignment horizontal="right" vertical="center"/>
    </xf>
    <xf numFmtId="180" fontId="15" fillId="0" borderId="29" xfId="2" applyNumberFormat="1" applyFont="1" applyBorder="1" applyAlignment="1">
      <alignment horizontal="right" vertical="center"/>
    </xf>
    <xf numFmtId="0" fontId="11" fillId="0" borderId="31" xfId="0" applyFont="1" applyBorder="1">
      <alignment vertical="center"/>
    </xf>
    <xf numFmtId="0" fontId="11" fillId="0" borderId="31" xfId="0" applyFont="1" applyBorder="1" applyAlignment="1">
      <alignment horizontal="center" vertical="center"/>
    </xf>
    <xf numFmtId="0" fontId="16" fillId="0" borderId="32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41" fontId="17" fillId="0" borderId="4" xfId="2" applyFont="1" applyBorder="1" applyAlignment="1">
      <alignment horizontal="center" vertical="center"/>
    </xf>
    <xf numFmtId="41" fontId="17" fillId="0" borderId="33" xfId="2" applyFont="1" applyBorder="1" applyAlignment="1">
      <alignment horizontal="center" vertical="center"/>
    </xf>
    <xf numFmtId="41" fontId="17" fillId="0" borderId="33" xfId="4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right" vertical="center"/>
    </xf>
    <xf numFmtId="180" fontId="17" fillId="0" borderId="17" xfId="2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1" fontId="16" fillId="0" borderId="0" xfId="0" applyNumberFormat="1" applyFont="1">
      <alignment vertical="center"/>
    </xf>
    <xf numFmtId="0" fontId="16" fillId="0" borderId="25" xfId="0" applyFont="1" applyBorder="1">
      <alignment vertical="center"/>
    </xf>
    <xf numFmtId="0" fontId="7" fillId="0" borderId="0" xfId="0" applyFont="1">
      <alignment vertical="center"/>
    </xf>
    <xf numFmtId="41" fontId="7" fillId="0" borderId="0" xfId="2" applyFont="1">
      <alignment vertical="center"/>
    </xf>
    <xf numFmtId="0" fontId="17" fillId="0" borderId="9" xfId="0" applyFont="1" applyBorder="1" applyAlignment="1">
      <alignment horizontal="center" vertical="center" shrinkToFit="1"/>
    </xf>
    <xf numFmtId="41" fontId="9" fillId="0" borderId="34" xfId="4" applyFont="1" applyBorder="1" applyAlignment="1">
      <alignment horizontal="center" vertical="center"/>
    </xf>
    <xf numFmtId="3" fontId="8" fillId="0" borderId="8" xfId="2" applyNumberFormat="1" applyFont="1" applyBorder="1" applyAlignment="1">
      <alignment horizontal="right" vertical="center"/>
    </xf>
    <xf numFmtId="0" fontId="11" fillId="0" borderId="26" xfId="0" applyFont="1" applyBorder="1">
      <alignment vertical="center"/>
    </xf>
    <xf numFmtId="0" fontId="11" fillId="0" borderId="26" xfId="0" applyFont="1" applyBorder="1" applyAlignment="1">
      <alignment horizontal="center" vertical="center"/>
    </xf>
    <xf numFmtId="41" fontId="7" fillId="0" borderId="26" xfId="0" applyNumberFormat="1" applyFont="1" applyBorder="1">
      <alignment vertical="center"/>
    </xf>
    <xf numFmtId="0" fontId="7" fillId="0" borderId="27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shrinkToFit="1"/>
    </xf>
    <xf numFmtId="41" fontId="8" fillId="0" borderId="34" xfId="4" applyFont="1" applyBorder="1" applyAlignment="1">
      <alignment horizontal="center" vertical="center"/>
    </xf>
    <xf numFmtId="0" fontId="7" fillId="0" borderId="35" xfId="0" applyFont="1" applyBorder="1" applyAlignment="1">
      <alignment horizontal="left" vertical="center"/>
    </xf>
    <xf numFmtId="41" fontId="7" fillId="0" borderId="26" xfId="2" applyFont="1" applyBorder="1">
      <alignment vertical="center"/>
    </xf>
    <xf numFmtId="41" fontId="8" fillId="0" borderId="33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 shrinkToFit="1"/>
    </xf>
    <xf numFmtId="41" fontId="7" fillId="0" borderId="0" xfId="4" applyFont="1">
      <alignment vertical="center"/>
    </xf>
    <xf numFmtId="0" fontId="18" fillId="0" borderId="0" xfId="0" applyFont="1" applyAlignment="1">
      <alignment horizontal="center" vertical="center"/>
    </xf>
    <xf numFmtId="0" fontId="7" fillId="0" borderId="25" xfId="0" applyFont="1" applyBorder="1">
      <alignment vertical="center"/>
    </xf>
    <xf numFmtId="41" fontId="8" fillId="0" borderId="37" xfId="4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/>
    </xf>
    <xf numFmtId="41" fontId="7" fillId="0" borderId="28" xfId="2" applyFont="1" applyBorder="1">
      <alignment vertical="center"/>
    </xf>
    <xf numFmtId="0" fontId="18" fillId="0" borderId="26" xfId="0" applyFont="1" applyBorder="1" applyAlignment="1">
      <alignment horizontal="center" vertical="center"/>
    </xf>
    <xf numFmtId="41" fontId="7" fillId="0" borderId="26" xfId="4" applyFont="1" applyBorder="1">
      <alignment vertical="center"/>
    </xf>
    <xf numFmtId="0" fontId="7" fillId="0" borderId="0" xfId="0" quotePrefix="1" applyFont="1" applyAlignment="1">
      <alignment horizontal="center" vertical="center"/>
    </xf>
    <xf numFmtId="0" fontId="17" fillId="0" borderId="14" xfId="0" applyFont="1" applyBorder="1" applyAlignment="1">
      <alignment horizontal="center" vertical="center" shrinkToFit="1"/>
    </xf>
    <xf numFmtId="41" fontId="17" fillId="0" borderId="8" xfId="2" applyFont="1" applyBorder="1" applyAlignment="1">
      <alignment horizontal="center" vertical="center"/>
    </xf>
    <xf numFmtId="41" fontId="17" fillId="0" borderId="38" xfId="2" applyFont="1" applyBorder="1" applyAlignment="1">
      <alignment horizontal="center" vertical="center"/>
    </xf>
    <xf numFmtId="41" fontId="17" fillId="0" borderId="8" xfId="4" applyFont="1" applyBorder="1" applyAlignment="1">
      <alignment horizontal="center" vertical="center"/>
    </xf>
    <xf numFmtId="3" fontId="17" fillId="0" borderId="8" xfId="2" applyNumberFormat="1" applyFont="1" applyBorder="1" applyAlignment="1">
      <alignment horizontal="right" vertical="center"/>
    </xf>
    <xf numFmtId="180" fontId="17" fillId="0" borderId="8" xfId="2" applyNumberFormat="1" applyFont="1" applyBorder="1" applyAlignment="1">
      <alignment horizontal="right" vertical="center"/>
    </xf>
    <xf numFmtId="0" fontId="7" fillId="0" borderId="39" xfId="0" applyFont="1" applyBorder="1">
      <alignment vertical="center"/>
    </xf>
    <xf numFmtId="41" fontId="16" fillId="0" borderId="39" xfId="0" applyNumberFormat="1" applyFont="1" applyBorder="1">
      <alignment vertical="center"/>
    </xf>
    <xf numFmtId="0" fontId="16" fillId="0" borderId="22" xfId="0" applyFont="1" applyBorder="1">
      <alignment vertical="center"/>
    </xf>
    <xf numFmtId="41" fontId="9" fillId="0" borderId="3" xfId="4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center" shrinkToFit="1"/>
    </xf>
    <xf numFmtId="41" fontId="7" fillId="0" borderId="28" xfId="4" applyFont="1" applyBorder="1">
      <alignment vertical="center"/>
    </xf>
    <xf numFmtId="0" fontId="18" fillId="0" borderId="28" xfId="0" applyFont="1" applyBorder="1" applyAlignment="1">
      <alignment horizontal="center" vertical="center"/>
    </xf>
    <xf numFmtId="0" fontId="7" fillId="0" borderId="28" xfId="0" quotePrefix="1" applyFont="1" applyBorder="1" applyAlignment="1">
      <alignment horizontal="center" vertical="center"/>
    </xf>
    <xf numFmtId="0" fontId="7" fillId="0" borderId="18" xfId="0" applyFont="1" applyBorder="1">
      <alignment vertical="center"/>
    </xf>
    <xf numFmtId="178" fontId="17" fillId="0" borderId="38" xfId="2" applyNumberFormat="1" applyFont="1" applyBorder="1" applyAlignment="1">
      <alignment horizontal="right" vertical="center"/>
    </xf>
    <xf numFmtId="178" fontId="17" fillId="0" borderId="38" xfId="4" applyNumberFormat="1" applyFont="1" applyBorder="1" applyAlignment="1">
      <alignment horizontal="center" vertical="center"/>
    </xf>
    <xf numFmtId="178" fontId="17" fillId="0" borderId="8" xfId="2" applyNumberFormat="1" applyFont="1" applyBorder="1" applyAlignment="1">
      <alignment horizontal="right" vertical="center"/>
    </xf>
    <xf numFmtId="0" fontId="16" fillId="0" borderId="39" xfId="0" applyFont="1" applyBorder="1">
      <alignment vertical="center"/>
    </xf>
    <xf numFmtId="0" fontId="16" fillId="0" borderId="39" xfId="0" applyFont="1" applyBorder="1" applyAlignment="1">
      <alignment horizontal="center" vertical="center"/>
    </xf>
    <xf numFmtId="41" fontId="8" fillId="0" borderId="8" xfId="2" applyFont="1" applyBorder="1" applyAlignment="1">
      <alignment horizontal="center" vertical="center"/>
    </xf>
    <xf numFmtId="178" fontId="8" fillId="0" borderId="38" xfId="2" applyNumberFormat="1" applyFont="1" applyBorder="1" applyAlignment="1">
      <alignment horizontal="right" vertical="center"/>
    </xf>
    <xf numFmtId="178" fontId="9" fillId="0" borderId="38" xfId="4" applyNumberFormat="1" applyFont="1" applyBorder="1" applyAlignment="1">
      <alignment horizontal="center" vertical="center"/>
    </xf>
    <xf numFmtId="178" fontId="8" fillId="0" borderId="8" xfId="2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41" fontId="7" fillId="0" borderId="39" xfId="0" applyNumberFormat="1" applyFont="1" applyBorder="1">
      <alignment vertical="center"/>
    </xf>
    <xf numFmtId="0" fontId="7" fillId="0" borderId="22" xfId="0" applyFont="1" applyBorder="1">
      <alignment vertical="center"/>
    </xf>
    <xf numFmtId="0" fontId="7" fillId="0" borderId="36" xfId="0" applyFont="1" applyBorder="1">
      <alignment vertical="center"/>
    </xf>
    <xf numFmtId="0" fontId="17" fillId="0" borderId="14" xfId="0" applyFont="1" applyBorder="1" applyAlignment="1">
      <alignment horizontal="center" vertical="center"/>
    </xf>
    <xf numFmtId="0" fontId="7" fillId="0" borderId="26" xfId="0" applyFont="1" applyBorder="1">
      <alignment vertical="center"/>
    </xf>
    <xf numFmtId="0" fontId="16" fillId="0" borderId="35" xfId="0" applyFont="1" applyBorder="1" applyAlignment="1">
      <alignment horizontal="left" vertical="center"/>
    </xf>
    <xf numFmtId="0" fontId="7" fillId="3" borderId="36" xfId="0" applyFont="1" applyFill="1" applyBorder="1" applyAlignment="1">
      <alignment horizontal="left" vertical="center"/>
    </xf>
    <xf numFmtId="41" fontId="7" fillId="3" borderId="0" xfId="4" applyFont="1" applyFill="1">
      <alignment vertical="center"/>
    </xf>
    <xf numFmtId="0" fontId="7" fillId="3" borderId="0" xfId="0" applyFont="1" applyFill="1" applyAlignment="1">
      <alignment horizontal="center" vertical="center"/>
    </xf>
    <xf numFmtId="0" fontId="18" fillId="3" borderId="0" xfId="0" applyFont="1" applyFill="1" applyAlignment="1">
      <alignment horizontal="center" vertical="center"/>
    </xf>
    <xf numFmtId="0" fontId="7" fillId="3" borderId="0" xfId="0" quotePrefix="1" applyFont="1" applyFill="1" applyAlignment="1">
      <alignment horizontal="center" vertical="center"/>
    </xf>
    <xf numFmtId="0" fontId="7" fillId="3" borderId="25" xfId="0" applyFont="1" applyFill="1" applyBorder="1">
      <alignment vertical="center"/>
    </xf>
    <xf numFmtId="3" fontId="7" fillId="0" borderId="0" xfId="0" applyNumberFormat="1" applyFont="1">
      <alignment vertical="center"/>
    </xf>
    <xf numFmtId="0" fontId="8" fillId="0" borderId="12" xfId="0" applyFont="1" applyBorder="1" applyAlignment="1">
      <alignment horizontal="center" vertical="center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63" xfId="0" applyFont="1" applyBorder="1">
      <alignment vertical="center"/>
    </xf>
    <xf numFmtId="0" fontId="7" fillId="0" borderId="40" xfId="0" applyFont="1" applyBorder="1" applyAlignment="1">
      <alignment horizontal="left" vertical="center"/>
    </xf>
    <xf numFmtId="41" fontId="7" fillId="0" borderId="22" xfId="2" applyFont="1" applyBorder="1">
      <alignment vertical="center"/>
    </xf>
    <xf numFmtId="0" fontId="8" fillId="0" borderId="15" xfId="0" applyFont="1" applyBorder="1" applyAlignment="1">
      <alignment horizontal="center" vertical="center"/>
    </xf>
    <xf numFmtId="41" fontId="17" fillId="0" borderId="38" xfId="4" applyFont="1" applyBorder="1" applyAlignment="1">
      <alignment horizontal="center" vertical="center"/>
    </xf>
    <xf numFmtId="41" fontId="8" fillId="0" borderId="38" xfId="4" applyFont="1" applyBorder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36" xfId="0" applyFont="1" applyBorder="1" applyAlignment="1">
      <alignment horizontal="left" vertical="center" shrinkToFit="1"/>
    </xf>
    <xf numFmtId="0" fontId="17" fillId="0" borderId="9" xfId="0" applyFont="1" applyBorder="1" applyAlignment="1">
      <alignment horizontal="center" vertical="center"/>
    </xf>
    <xf numFmtId="41" fontId="8" fillId="0" borderId="38" xfId="2" applyFont="1" applyBorder="1" applyAlignment="1">
      <alignment horizontal="center" vertical="center"/>
    </xf>
    <xf numFmtId="41" fontId="9" fillId="0" borderId="8" xfId="4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shrinkToFit="1"/>
    </xf>
    <xf numFmtId="41" fontId="8" fillId="0" borderId="9" xfId="2" applyFont="1" applyBorder="1" applyAlignment="1">
      <alignment horizontal="right" vertical="center"/>
    </xf>
    <xf numFmtId="41" fontId="8" fillId="0" borderId="34" xfId="2" applyFont="1" applyBorder="1" applyAlignment="1">
      <alignment horizontal="right" vertical="center"/>
    </xf>
    <xf numFmtId="41" fontId="8" fillId="0" borderId="9" xfId="4" applyFont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41" fontId="7" fillId="0" borderId="39" xfId="2" applyFont="1" applyBorder="1">
      <alignment vertical="center"/>
    </xf>
    <xf numFmtId="0" fontId="18" fillId="0" borderId="39" xfId="0" applyFont="1" applyBorder="1" applyAlignment="1">
      <alignment horizontal="center" vertical="center"/>
    </xf>
    <xf numFmtId="0" fontId="7" fillId="0" borderId="39" xfId="0" quotePrefix="1" applyFont="1" applyBorder="1" applyAlignment="1">
      <alignment horizontal="center" vertical="center"/>
    </xf>
    <xf numFmtId="41" fontId="7" fillId="0" borderId="39" xfId="4" applyFont="1" applyBorder="1">
      <alignment vertical="center"/>
    </xf>
    <xf numFmtId="0" fontId="7" fillId="0" borderId="26" xfId="0" quotePrefix="1" applyFont="1" applyBorder="1" applyAlignment="1">
      <alignment horizontal="center" vertical="center"/>
    </xf>
    <xf numFmtId="41" fontId="17" fillId="0" borderId="9" xfId="2" applyFont="1" applyBorder="1" applyAlignment="1">
      <alignment horizontal="center" vertical="center"/>
    </xf>
    <xf numFmtId="41" fontId="16" fillId="0" borderId="26" xfId="4" applyFont="1" applyBorder="1">
      <alignment vertical="center"/>
    </xf>
    <xf numFmtId="0" fontId="16" fillId="0" borderId="27" xfId="0" applyFont="1" applyBorder="1">
      <alignment vertical="center"/>
    </xf>
    <xf numFmtId="41" fontId="8" fillId="0" borderId="8" xfId="4" applyFont="1" applyBorder="1" applyAlignment="1">
      <alignment horizontal="right" vertical="center"/>
    </xf>
    <xf numFmtId="41" fontId="8" fillId="0" borderId="8" xfId="4" applyFont="1" applyBorder="1" applyAlignment="1">
      <alignment horizontal="center" vertical="center"/>
    </xf>
    <xf numFmtId="0" fontId="11" fillId="0" borderId="20" xfId="0" applyFont="1" applyBorder="1" applyAlignment="1">
      <alignment vertical="center" shrinkToFit="1"/>
    </xf>
    <xf numFmtId="0" fontId="8" fillId="0" borderId="10" xfId="0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1" fillId="0" borderId="0" xfId="0" applyFont="1" applyAlignment="1">
      <alignment horizontal="left" vertical="center"/>
    </xf>
    <xf numFmtId="41" fontId="9" fillId="0" borderId="0" xfId="2" applyFont="1">
      <alignment vertical="center"/>
    </xf>
    <xf numFmtId="41" fontId="14" fillId="0" borderId="0" xfId="2" applyFont="1" applyAlignment="1">
      <alignment horizontal="center"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2" applyNumberFormat="1" applyFont="1">
      <alignment vertical="center"/>
    </xf>
    <xf numFmtId="41" fontId="15" fillId="0" borderId="41" xfId="2" applyFont="1" applyBorder="1" applyAlignment="1">
      <alignment horizontal="center" vertical="center"/>
    </xf>
    <xf numFmtId="179" fontId="15" fillId="0" borderId="41" xfId="2" applyNumberFormat="1" applyFont="1" applyBorder="1" applyAlignment="1">
      <alignment horizontal="center" vertical="center"/>
    </xf>
    <xf numFmtId="41" fontId="15" fillId="0" borderId="42" xfId="2" applyFont="1" applyBorder="1" applyAlignment="1">
      <alignment horizontal="center" vertical="center"/>
    </xf>
    <xf numFmtId="41" fontId="15" fillId="2" borderId="43" xfId="4" applyFont="1" applyFill="1" applyBorder="1" applyAlignment="1">
      <alignment horizontal="center" vertical="center"/>
    </xf>
    <xf numFmtId="178" fontId="15" fillId="0" borderId="44" xfId="2" applyNumberFormat="1" applyFont="1" applyBorder="1" applyAlignment="1">
      <alignment horizontal="right" vertical="center"/>
    </xf>
    <xf numFmtId="179" fontId="15" fillId="0" borderId="44" xfId="2" applyNumberFormat="1" applyFont="1" applyBorder="1">
      <alignment vertical="center"/>
    </xf>
    <xf numFmtId="0" fontId="11" fillId="0" borderId="45" xfId="0" applyFont="1" applyBorder="1">
      <alignment vertical="center"/>
    </xf>
    <xf numFmtId="0" fontId="11" fillId="0" borderId="46" xfId="0" applyFont="1" applyBorder="1">
      <alignment vertical="center"/>
    </xf>
    <xf numFmtId="41" fontId="16" fillId="0" borderId="46" xfId="2" applyFont="1" applyBorder="1" applyAlignment="1">
      <alignment horizontal="center" vertical="center"/>
    </xf>
    <xf numFmtId="0" fontId="10" fillId="0" borderId="47" xfId="0" applyFont="1" applyBorder="1">
      <alignment vertical="center"/>
    </xf>
    <xf numFmtId="41" fontId="15" fillId="0" borderId="48" xfId="2" applyFont="1" applyBorder="1" applyAlignment="1">
      <alignment horizontal="center" vertical="center"/>
    </xf>
    <xf numFmtId="41" fontId="15" fillId="2" borderId="48" xfId="4" applyFont="1" applyFill="1" applyBorder="1" applyAlignment="1">
      <alignment horizontal="center" vertical="center"/>
    </xf>
    <xf numFmtId="178" fontId="15" fillId="0" borderId="48" xfId="2" applyNumberFormat="1" applyFont="1" applyBorder="1" applyAlignment="1">
      <alignment horizontal="right" vertical="center"/>
    </xf>
    <xf numFmtId="179" fontId="15" fillId="0" borderId="48" xfId="2" applyNumberFormat="1" applyFont="1" applyBorder="1">
      <alignment vertical="center"/>
    </xf>
    <xf numFmtId="0" fontId="11" fillId="0" borderId="19" xfId="0" applyFont="1" applyBorder="1" applyAlignment="1">
      <alignment horizontal="left" vertical="center"/>
    </xf>
    <xf numFmtId="41" fontId="7" fillId="0" borderId="49" xfId="2" applyFont="1" applyBorder="1">
      <alignment vertical="center"/>
    </xf>
    <xf numFmtId="0" fontId="7" fillId="0" borderId="49" xfId="0" applyFont="1" applyBorder="1">
      <alignment vertical="center"/>
    </xf>
    <xf numFmtId="0" fontId="7" fillId="0" borderId="49" xfId="0" applyFont="1" applyBorder="1" applyAlignment="1">
      <alignment horizontal="center" vertical="center"/>
    </xf>
    <xf numFmtId="41" fontId="16" fillId="0" borderId="49" xfId="2" applyFont="1" applyBorder="1">
      <alignment vertical="center"/>
    </xf>
    <xf numFmtId="0" fontId="16" fillId="0" borderId="50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41" fontId="15" fillId="0" borderId="51" xfId="2" applyFont="1" applyBorder="1" applyAlignment="1">
      <alignment horizontal="center" vertical="center"/>
    </xf>
    <xf numFmtId="41" fontId="15" fillId="2" borderId="51" xfId="4" applyFont="1" applyFill="1" applyBorder="1" applyAlignment="1">
      <alignment horizontal="center" vertical="center"/>
    </xf>
    <xf numFmtId="178" fontId="15" fillId="0" borderId="51" xfId="2" applyNumberFormat="1" applyFont="1" applyBorder="1" applyAlignment="1">
      <alignment horizontal="right" vertical="center"/>
    </xf>
    <xf numFmtId="179" fontId="15" fillId="0" borderId="51" xfId="2" applyNumberFormat="1" applyFont="1" applyBorder="1">
      <alignment vertical="center"/>
    </xf>
    <xf numFmtId="0" fontId="11" fillId="0" borderId="36" xfId="0" applyFont="1" applyBorder="1" applyAlignment="1">
      <alignment horizontal="left" vertical="center"/>
    </xf>
    <xf numFmtId="41" fontId="20" fillId="4" borderId="52" xfId="2" applyFont="1" applyFill="1" applyBorder="1" applyAlignment="1">
      <alignment horizontal="center" vertical="distributed"/>
    </xf>
    <xf numFmtId="41" fontId="21" fillId="4" borderId="52" xfId="2" applyFont="1" applyFill="1" applyBorder="1" applyAlignment="1">
      <alignment horizontal="center" vertical="distributed"/>
    </xf>
    <xf numFmtId="41" fontId="21" fillId="4" borderId="0" xfId="2" applyFont="1" applyFill="1" applyAlignment="1">
      <alignment horizontal="center" vertical="distributed"/>
    </xf>
    <xf numFmtId="0" fontId="7" fillId="0" borderId="53" xfId="0" applyFont="1" applyBorder="1" applyAlignment="1">
      <alignment horizontal="left" vertical="center"/>
    </xf>
    <xf numFmtId="186" fontId="7" fillId="0" borderId="0" xfId="0" applyNumberFormat="1" applyFont="1">
      <alignment vertical="center"/>
    </xf>
    <xf numFmtId="43" fontId="7" fillId="0" borderId="0" xfId="0" applyNumberFormat="1" applyFont="1">
      <alignment vertical="center"/>
    </xf>
    <xf numFmtId="0" fontId="7" fillId="0" borderId="54" xfId="0" applyFont="1" applyBorder="1" applyAlignment="1">
      <alignment horizontal="left" vertical="center"/>
    </xf>
    <xf numFmtId="0" fontId="7" fillId="0" borderId="28" xfId="0" applyFont="1" applyBorder="1">
      <alignment vertical="center"/>
    </xf>
    <xf numFmtId="0" fontId="7" fillId="0" borderId="16" xfId="0" applyFont="1" applyBorder="1" applyAlignment="1">
      <alignment horizontal="left" vertical="center" shrinkToFit="1"/>
    </xf>
    <xf numFmtId="0" fontId="1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16" fillId="0" borderId="26" xfId="0" applyFont="1" applyBorder="1" applyAlignment="1">
      <alignment horizontal="left" vertical="center"/>
    </xf>
    <xf numFmtId="0" fontId="17" fillId="0" borderId="35" xfId="0" applyFont="1" applyBorder="1" applyAlignment="1">
      <alignment horizontal="center" vertical="center"/>
    </xf>
    <xf numFmtId="41" fontId="17" fillId="0" borderId="55" xfId="2" applyFont="1" applyBorder="1" applyAlignment="1">
      <alignment horizontal="center" vertical="center"/>
    </xf>
    <xf numFmtId="41" fontId="17" fillId="2" borderId="55" xfId="4" applyFont="1" applyFill="1" applyBorder="1" applyAlignment="1">
      <alignment horizontal="center" vertical="center"/>
    </xf>
    <xf numFmtId="178" fontId="17" fillId="0" borderId="55" xfId="2" applyNumberFormat="1" applyFont="1" applyBorder="1" applyAlignment="1">
      <alignment horizontal="right" vertical="center"/>
    </xf>
    <xf numFmtId="179" fontId="17" fillId="0" borderId="55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/>
    </xf>
    <xf numFmtId="0" fontId="16" fillId="0" borderId="53" xfId="0" applyFont="1" applyBorder="1" applyAlignment="1">
      <alignment horizontal="left" vertical="center"/>
    </xf>
    <xf numFmtId="41" fontId="16" fillId="0" borderId="26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1" fillId="0" borderId="0" xfId="2" applyFont="1">
      <alignment vertical="center"/>
    </xf>
    <xf numFmtId="0" fontId="7" fillId="0" borderId="26" xfId="0" applyFont="1" applyBorder="1" applyAlignment="1">
      <alignment horizontal="left" vertical="center" shrinkToFit="1"/>
    </xf>
    <xf numFmtId="0" fontId="7" fillId="0" borderId="54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 shrinkToFit="1"/>
    </xf>
    <xf numFmtId="0" fontId="7" fillId="0" borderId="53" xfId="0" applyFont="1" applyBorder="1" applyAlignment="1">
      <alignment horizontal="left" vertical="center" shrinkToFit="1"/>
    </xf>
    <xf numFmtId="41" fontId="17" fillId="0" borderId="23" xfId="2" applyFont="1" applyBorder="1" applyAlignment="1">
      <alignment horizontal="center" vertical="center"/>
    </xf>
    <xf numFmtId="41" fontId="17" fillId="0" borderId="56" xfId="2" applyFont="1" applyBorder="1" applyAlignment="1">
      <alignment horizontal="center" vertical="center"/>
    </xf>
    <xf numFmtId="41" fontId="17" fillId="2" borderId="56" xfId="4" applyFont="1" applyFill="1" applyBorder="1" applyAlignment="1">
      <alignment horizontal="center" vertical="center"/>
    </xf>
    <xf numFmtId="178" fontId="17" fillId="0" borderId="56" xfId="2" applyNumberFormat="1" applyFont="1" applyBorder="1" applyAlignment="1">
      <alignment horizontal="right" vertical="center"/>
    </xf>
    <xf numFmtId="179" fontId="17" fillId="0" borderId="56" xfId="2" applyNumberFormat="1" applyFont="1" applyBorder="1">
      <alignment vertical="center"/>
    </xf>
    <xf numFmtId="0" fontId="7" fillId="0" borderId="57" xfId="0" applyFont="1" applyBorder="1" applyAlignment="1">
      <alignment horizontal="left" vertical="center"/>
    </xf>
    <xf numFmtId="41" fontId="7" fillId="0" borderId="58" xfId="2" applyFont="1" applyBorder="1">
      <alignment vertical="center"/>
    </xf>
    <xf numFmtId="0" fontId="7" fillId="0" borderId="58" xfId="0" applyFont="1" applyBorder="1">
      <alignment vertical="center"/>
    </xf>
    <xf numFmtId="0" fontId="7" fillId="0" borderId="58" xfId="0" applyFont="1" applyBorder="1" applyAlignment="1">
      <alignment horizontal="center" vertical="center"/>
    </xf>
    <xf numFmtId="0" fontId="7" fillId="0" borderId="59" xfId="0" applyFont="1" applyBorder="1">
      <alignment vertical="center"/>
    </xf>
    <xf numFmtId="0" fontId="16" fillId="0" borderId="9" xfId="0" applyFont="1" applyBorder="1" applyAlignment="1">
      <alignment vertical="center" shrinkToFit="1"/>
    </xf>
    <xf numFmtId="41" fontId="9" fillId="2" borderId="60" xfId="4" applyFont="1" applyFill="1" applyBorder="1" applyAlignment="1">
      <alignment horizontal="center" vertical="center"/>
    </xf>
    <xf numFmtId="0" fontId="7" fillId="0" borderId="39" xfId="0" applyFont="1" applyBorder="1" applyAlignment="1">
      <alignment horizontal="left" vertical="center"/>
    </xf>
    <xf numFmtId="0" fontId="16" fillId="0" borderId="4" xfId="0" applyFont="1" applyBorder="1" applyAlignment="1">
      <alignment vertical="center" shrinkToFit="1"/>
    </xf>
    <xf numFmtId="0" fontId="7" fillId="0" borderId="28" xfId="0" applyFont="1" applyBorder="1" applyAlignment="1">
      <alignment horizontal="left" vertical="center" shrinkToFit="1"/>
    </xf>
    <xf numFmtId="41" fontId="17" fillId="0" borderId="2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wrapText="1"/>
    </xf>
    <xf numFmtId="41" fontId="8" fillId="0" borderId="44" xfId="2" applyFont="1" applyBorder="1">
      <alignment vertical="center"/>
    </xf>
    <xf numFmtId="41" fontId="8" fillId="2" borderId="44" xfId="4" applyFont="1" applyFill="1" applyBorder="1">
      <alignment vertical="center"/>
    </xf>
    <xf numFmtId="41" fontId="7" fillId="0" borderId="28" xfId="0" applyNumberFormat="1" applyFont="1" applyBorder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179" fontId="8" fillId="0" borderId="51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41" fontId="17" fillId="0" borderId="16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8" fillId="0" borderId="55" xfId="0" applyFont="1" applyBorder="1">
      <alignment vertical="center"/>
    </xf>
    <xf numFmtId="0" fontId="7" fillId="0" borderId="53" xfId="0" applyFont="1" applyBorder="1">
      <alignment vertical="center"/>
    </xf>
    <xf numFmtId="0" fontId="8" fillId="0" borderId="51" xfId="0" applyFont="1" applyBorder="1">
      <alignment vertical="center"/>
    </xf>
    <xf numFmtId="41" fontId="8" fillId="0" borderId="16" xfId="2" applyFont="1" applyBorder="1" applyAlignment="1">
      <alignment horizontal="center" vertical="center"/>
    </xf>
    <xf numFmtId="0" fontId="11" fillId="0" borderId="54" xfId="0" applyFont="1" applyBorder="1" applyAlignment="1">
      <alignment horizontal="left" vertical="center"/>
    </xf>
    <xf numFmtId="0" fontId="7" fillId="0" borderId="61" xfId="0" applyFont="1" applyBorder="1" applyAlignment="1">
      <alignment horizontal="left" vertical="center"/>
    </xf>
    <xf numFmtId="0" fontId="16" fillId="0" borderId="36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7" fillId="0" borderId="16" xfId="0" applyFont="1" applyBorder="1">
      <alignment vertical="center"/>
    </xf>
    <xf numFmtId="0" fontId="16" fillId="0" borderId="4" xfId="0" applyFont="1" applyBorder="1" applyAlignment="1">
      <alignment vertical="center" wrapText="1"/>
    </xf>
    <xf numFmtId="41" fontId="16" fillId="0" borderId="39" xfId="2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41" fontId="8" fillId="2" borderId="61" xfId="4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0" fontId="7" fillId="0" borderId="28" xfId="0" applyFont="1" applyBorder="1" applyAlignment="1">
      <alignment horizontal="left" vertical="center" wrapText="1"/>
    </xf>
    <xf numFmtId="41" fontId="17" fillId="0" borderId="14" xfId="2" applyFont="1" applyBorder="1" applyAlignment="1">
      <alignment horizontal="center" vertical="center"/>
    </xf>
    <xf numFmtId="41" fontId="17" fillId="0" borderId="60" xfId="2" applyFont="1" applyBorder="1" applyAlignment="1">
      <alignment horizontal="center" vertical="center"/>
    </xf>
    <xf numFmtId="41" fontId="17" fillId="2" borderId="60" xfId="4" applyFont="1" applyFill="1" applyBorder="1" applyAlignment="1">
      <alignment horizontal="center" vertical="center"/>
    </xf>
    <xf numFmtId="178" fontId="17" fillId="0" borderId="60" xfId="2" applyNumberFormat="1" applyFont="1" applyBorder="1" applyAlignment="1">
      <alignment horizontal="right" vertical="center"/>
    </xf>
    <xf numFmtId="179" fontId="17" fillId="0" borderId="60" xfId="2" applyNumberFormat="1" applyFont="1" applyBorder="1">
      <alignment vertical="center"/>
    </xf>
    <xf numFmtId="41" fontId="8" fillId="0" borderId="60" xfId="2" applyFont="1" applyBorder="1">
      <alignment vertical="center"/>
    </xf>
    <xf numFmtId="41" fontId="8" fillId="2" borderId="60" xfId="2" applyFont="1" applyFill="1" applyBorder="1" applyAlignment="1">
      <alignment horizontal="center" vertical="center"/>
    </xf>
    <xf numFmtId="0" fontId="7" fillId="0" borderId="16" xfId="6" applyFont="1" applyBorder="1" applyAlignment="1">
      <alignment horizontal="left" vertical="center"/>
    </xf>
    <xf numFmtId="0" fontId="7" fillId="0" borderId="26" xfId="6" applyFont="1" applyBorder="1">
      <alignment vertical="center"/>
    </xf>
    <xf numFmtId="0" fontId="18" fillId="0" borderId="26" xfId="6" applyFont="1" applyBorder="1" applyAlignment="1">
      <alignment horizontal="center" vertical="center"/>
    </xf>
    <xf numFmtId="0" fontId="7" fillId="0" borderId="26" xfId="6" applyFont="1" applyBorder="1" applyAlignment="1">
      <alignment horizontal="center" vertical="center"/>
    </xf>
    <xf numFmtId="0" fontId="7" fillId="0" borderId="26" xfId="6" quotePrefix="1" applyFont="1" applyBorder="1" applyAlignment="1">
      <alignment horizontal="center" vertical="center"/>
    </xf>
    <xf numFmtId="0" fontId="7" fillId="0" borderId="27" xfId="6" applyFont="1" applyBorder="1">
      <alignment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5" xfId="6" applyFont="1" applyBorder="1">
      <alignment vertical="center"/>
    </xf>
    <xf numFmtId="41" fontId="8" fillId="2" borderId="44" xfId="2" applyFont="1" applyFill="1" applyBorder="1" applyAlignment="1">
      <alignment horizontal="center" vertical="center"/>
    </xf>
    <xf numFmtId="0" fontId="7" fillId="0" borderId="18" xfId="6" applyFont="1" applyBorder="1">
      <alignment vertical="center"/>
    </xf>
    <xf numFmtId="0" fontId="7" fillId="0" borderId="16" xfId="6" applyFont="1" applyBorder="1" applyAlignment="1">
      <alignment horizontal="left" vertical="center" shrinkToFit="1"/>
    </xf>
    <xf numFmtId="41" fontId="8" fillId="2" borderId="55" xfId="2" applyFont="1" applyFill="1" applyBorder="1" applyAlignment="1">
      <alignment horizontal="center" vertical="center"/>
    </xf>
    <xf numFmtId="41" fontId="8" fillId="2" borderId="51" xfId="2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 shrinkToFit="1"/>
    </xf>
    <xf numFmtId="185" fontId="8" fillId="0" borderId="55" xfId="2" applyNumberFormat="1" applyFont="1" applyBorder="1" applyAlignment="1">
      <alignment horizontal="right" vertical="center"/>
    </xf>
    <xf numFmtId="41" fontId="17" fillId="0" borderId="15" xfId="2" applyFont="1" applyBorder="1" applyAlignment="1">
      <alignment horizontal="center" vertical="center"/>
    </xf>
    <xf numFmtId="0" fontId="7" fillId="0" borderId="54" xfId="6" applyFont="1" applyBorder="1" applyAlignment="1">
      <alignment horizontal="left" vertical="center"/>
    </xf>
    <xf numFmtId="0" fontId="7" fillId="0" borderId="28" xfId="6" applyFont="1" applyBorder="1">
      <alignment vertical="center"/>
    </xf>
    <xf numFmtId="0" fontId="18" fillId="0" borderId="28" xfId="6" applyFont="1" applyBorder="1" applyAlignment="1">
      <alignment horizontal="center" vertical="center"/>
    </xf>
    <xf numFmtId="0" fontId="7" fillId="0" borderId="28" xfId="6" applyFont="1" applyBorder="1" applyAlignment="1">
      <alignment horizontal="center" vertical="center"/>
    </xf>
    <xf numFmtId="0" fontId="7" fillId="0" borderId="28" xfId="6" quotePrefix="1" applyFont="1" applyBorder="1" applyAlignment="1">
      <alignment horizontal="center" vertical="center"/>
    </xf>
    <xf numFmtId="41" fontId="17" fillId="0" borderId="60" xfId="2" applyFont="1" applyBorder="1" applyAlignment="1">
      <alignment vertical="center" wrapText="1"/>
    </xf>
    <xf numFmtId="41" fontId="17" fillId="0" borderId="55" xfId="2" applyFont="1" applyBorder="1" applyAlignment="1">
      <alignment vertical="center" wrapText="1"/>
    </xf>
    <xf numFmtId="178" fontId="17" fillId="0" borderId="55" xfId="2" applyNumberFormat="1" applyFont="1" applyBorder="1" applyAlignment="1">
      <alignment horizontal="right" vertical="center" shrinkToFit="1"/>
    </xf>
    <xf numFmtId="179" fontId="17" fillId="0" borderId="55" xfId="2" applyNumberFormat="1" applyFont="1" applyBorder="1" applyAlignment="1">
      <alignment vertical="center" wrapText="1"/>
    </xf>
    <xf numFmtId="41" fontId="8" fillId="0" borderId="55" xfId="2" applyFont="1" applyBorder="1">
      <alignment vertical="center"/>
    </xf>
    <xf numFmtId="0" fontId="7" fillId="0" borderId="16" xfId="0" applyFont="1" applyBorder="1" applyAlignment="1">
      <alignment vertical="center" wrapText="1"/>
    </xf>
    <xf numFmtId="41" fontId="8" fillId="0" borderId="51" xfId="2" applyFont="1" applyBorder="1">
      <alignment vertical="center"/>
    </xf>
    <xf numFmtId="0" fontId="7" fillId="0" borderId="36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41" fontId="7" fillId="0" borderId="28" xfId="2" applyFont="1" applyBorder="1" applyAlignment="1">
      <alignment vertical="center" shrinkToFit="1"/>
    </xf>
    <xf numFmtId="41" fontId="8" fillId="0" borderId="27" xfId="2" applyFont="1" applyBorder="1">
      <alignment vertical="center"/>
    </xf>
    <xf numFmtId="41" fontId="8" fillId="0" borderId="10" xfId="2" applyFont="1" applyBorder="1" applyAlignment="1">
      <alignment horizontal="center" vertical="center"/>
    </xf>
    <xf numFmtId="41" fontId="8" fillId="0" borderId="63" xfId="2" applyFont="1" applyBorder="1">
      <alignment vertical="center"/>
    </xf>
    <xf numFmtId="0" fontId="1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1" fillId="0" borderId="0" xfId="0" applyNumberFormat="1" applyFont="1" applyAlignment="1">
      <alignment horizontal="left" vertical="center"/>
    </xf>
    <xf numFmtId="178" fontId="8" fillId="2" borderId="61" xfId="0" applyNumberFormat="1" applyFont="1" applyFill="1" applyBorder="1" applyAlignment="1">
      <alignment horizontal="right" vertical="center"/>
    </xf>
    <xf numFmtId="0" fontId="17" fillId="0" borderId="62" xfId="0" applyFont="1" applyBorder="1" applyAlignment="1">
      <alignment horizontal="center" vertical="center"/>
    </xf>
    <xf numFmtId="41" fontId="8" fillId="0" borderId="25" xfId="2" applyFont="1" applyBorder="1">
      <alignment vertical="center"/>
    </xf>
    <xf numFmtId="178" fontId="7" fillId="0" borderId="0" xfId="2" applyNumberFormat="1" applyFont="1">
      <alignment vertical="center"/>
    </xf>
    <xf numFmtId="178" fontId="7" fillId="0" borderId="0" xfId="4" applyNumberFormat="1" applyFont="1">
      <alignment vertical="center"/>
    </xf>
    <xf numFmtId="41" fontId="16" fillId="0" borderId="0" xfId="4" applyFont="1">
      <alignment vertical="center"/>
    </xf>
    <xf numFmtId="0" fontId="16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7" fillId="0" borderId="0" xfId="6" quotePrefix="1" applyFont="1" applyAlignment="1">
      <alignment horizontal="center" vertical="center"/>
    </xf>
    <xf numFmtId="41" fontId="7" fillId="0" borderId="0" xfId="4" applyFont="1" applyAlignment="1">
      <alignment horizontal="center" vertical="center"/>
    </xf>
    <xf numFmtId="178" fontId="7" fillId="0" borderId="28" xfId="4" applyNumberFormat="1" applyFont="1" applyBorder="1">
      <alignment vertical="center"/>
    </xf>
    <xf numFmtId="0" fontId="16" fillId="0" borderId="16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 wrapText="1"/>
    </xf>
    <xf numFmtId="0" fontId="7" fillId="5" borderId="16" xfId="0" applyFont="1" applyFill="1" applyBorder="1" applyAlignment="1">
      <alignment horizontal="left" vertical="center"/>
    </xf>
    <xf numFmtId="0" fontId="7" fillId="0" borderId="54" xfId="6" applyFont="1" applyBorder="1" applyAlignment="1">
      <alignment horizontal="left" vertical="center" shrinkToFit="1"/>
    </xf>
    <xf numFmtId="0" fontId="7" fillId="0" borderId="65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  <xf numFmtId="178" fontId="15" fillId="0" borderId="42" xfId="2" applyNumberFormat="1" applyFont="1" applyBorder="1" applyAlignment="1">
      <alignment horizontal="right" vertical="center"/>
    </xf>
    <xf numFmtId="178" fontId="17" fillId="0" borderId="60" xfId="2" applyNumberFormat="1" applyFont="1" applyBorder="1" applyAlignment="1">
      <alignment horizontal="right" vertical="center" wrapText="1"/>
    </xf>
    <xf numFmtId="0" fontId="17" fillId="0" borderId="9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41" fontId="15" fillId="0" borderId="55" xfId="2" applyFont="1" applyBorder="1" applyAlignment="1">
      <alignment horizontal="center" vertical="center"/>
    </xf>
    <xf numFmtId="178" fontId="15" fillId="0" borderId="55" xfId="2" applyNumberFormat="1" applyFont="1" applyBorder="1" applyAlignment="1">
      <alignment horizontal="right" vertical="center"/>
    </xf>
    <xf numFmtId="41" fontId="15" fillId="2" borderId="55" xfId="4" applyFont="1" applyFill="1" applyBorder="1" applyAlignment="1">
      <alignment horizontal="center" vertical="center"/>
    </xf>
    <xf numFmtId="179" fontId="15" fillId="0" borderId="55" xfId="2" applyNumberFormat="1" applyFont="1" applyBorder="1">
      <alignment vertical="center"/>
    </xf>
    <xf numFmtId="0" fontId="11" fillId="0" borderId="26" xfId="0" applyFont="1" applyBorder="1" applyAlignment="1">
      <alignment horizontal="left" vertical="center"/>
    </xf>
    <xf numFmtId="178" fontId="8" fillId="2" borderId="60" xfId="0" applyNumberFormat="1" applyFont="1" applyFill="1" applyBorder="1" applyAlignment="1">
      <alignment horizontal="right" vertical="center"/>
    </xf>
    <xf numFmtId="41" fontId="16" fillId="0" borderId="31" xfId="0" applyNumberFormat="1" applyFont="1" applyBorder="1" applyAlignment="1">
      <alignment vertical="center" shrinkToFit="1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41" fontId="8" fillId="0" borderId="12" xfId="4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78" fontId="8" fillId="0" borderId="55" xfId="4" applyNumberFormat="1" applyFont="1" applyBorder="1" applyAlignment="1">
      <alignment horizontal="right" vertical="center"/>
    </xf>
    <xf numFmtId="179" fontId="8" fillId="0" borderId="55" xfId="2" applyNumberFormat="1" applyFont="1" applyBorder="1">
      <alignment vertical="center"/>
    </xf>
    <xf numFmtId="178" fontId="8" fillId="0" borderId="51" xfId="4" applyNumberFormat="1" applyFont="1" applyBorder="1" applyAlignment="1">
      <alignment horizontal="right" vertical="center"/>
    </xf>
    <xf numFmtId="178" fontId="8" fillId="0" borderId="55" xfId="2" applyNumberFormat="1" applyFont="1" applyBorder="1" applyAlignment="1">
      <alignment horizontal="right" vertical="center"/>
    </xf>
    <xf numFmtId="178" fontId="8" fillId="0" borderId="51" xfId="2" applyNumberFormat="1" applyFont="1" applyBorder="1" applyAlignment="1">
      <alignment horizontal="right" vertical="center"/>
    </xf>
    <xf numFmtId="178" fontId="8" fillId="0" borderId="60" xfId="4" applyNumberFormat="1" applyFont="1" applyBorder="1" applyAlignment="1">
      <alignment horizontal="right" vertical="center"/>
    </xf>
    <xf numFmtId="179" fontId="8" fillId="0" borderId="51" xfId="2" applyNumberFormat="1" applyFont="1" applyBorder="1">
      <alignment vertical="center"/>
    </xf>
    <xf numFmtId="179" fontId="8" fillId="0" borderId="55" xfId="4" applyNumberFormat="1" applyFont="1" applyBorder="1">
      <alignment vertical="center"/>
    </xf>
    <xf numFmtId="179" fontId="8" fillId="0" borderId="60" xfId="4" applyNumberFormat="1" applyFont="1" applyBorder="1" applyAlignment="1">
      <alignment horizontal="right" vertical="center"/>
    </xf>
    <xf numFmtId="41" fontId="8" fillId="2" borderId="55" xfId="4" applyFont="1" applyFill="1" applyBorder="1" applyAlignment="1">
      <alignment horizontal="center" vertical="center"/>
    </xf>
    <xf numFmtId="41" fontId="8" fillId="2" borderId="51" xfId="4" applyFont="1" applyFill="1" applyBorder="1" applyAlignment="1">
      <alignment horizontal="center" vertical="center"/>
    </xf>
    <xf numFmtId="41" fontId="8" fillId="0" borderId="55" xfId="2" applyFont="1" applyBorder="1" applyAlignment="1">
      <alignment horizontal="center" vertical="center"/>
    </xf>
    <xf numFmtId="178" fontId="8" fillId="0" borderId="44" xfId="2" applyNumberFormat="1" applyFont="1" applyBorder="1" applyAlignment="1">
      <alignment horizontal="right" vertical="center"/>
    </xf>
    <xf numFmtId="41" fontId="8" fillId="2" borderId="44" xfId="4" applyFont="1" applyFill="1" applyBorder="1" applyAlignment="1">
      <alignment horizontal="center" vertical="center"/>
    </xf>
    <xf numFmtId="41" fontId="8" fillId="0" borderId="51" xfId="2" applyFont="1" applyBorder="1" applyAlignment="1">
      <alignment horizontal="center" vertical="center"/>
    </xf>
    <xf numFmtId="41" fontId="8" fillId="0" borderId="44" xfId="2" applyFont="1" applyBorder="1" applyAlignment="1">
      <alignment horizontal="center" vertical="center"/>
    </xf>
    <xf numFmtId="179" fontId="8" fillId="0" borderId="44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9" fontId="8" fillId="0" borderId="44" xfId="2" applyNumberFormat="1" applyFont="1" applyBorder="1">
      <alignment vertical="center"/>
    </xf>
    <xf numFmtId="0" fontId="7" fillId="0" borderId="13" xfId="0" applyFont="1" applyBorder="1" applyAlignment="1">
      <alignment horizontal="center" vertical="center" wrapText="1"/>
    </xf>
    <xf numFmtId="41" fontId="8" fillId="0" borderId="60" xfId="4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41" fontId="8" fillId="0" borderId="55" xfId="4" applyFont="1" applyBorder="1" applyAlignment="1">
      <alignment horizontal="center" vertical="center"/>
    </xf>
    <xf numFmtId="41" fontId="8" fillId="0" borderId="51" xfId="4" applyFont="1" applyBorder="1" applyAlignment="1">
      <alignment horizontal="center" vertical="center"/>
    </xf>
    <xf numFmtId="41" fontId="8" fillId="2" borderId="60" xfId="4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178" fontId="8" fillId="0" borderId="60" xfId="2" applyNumberFormat="1" applyFont="1" applyBorder="1" applyAlignment="1">
      <alignment horizontal="right" vertical="center"/>
    </xf>
    <xf numFmtId="41" fontId="8" fillId="0" borderId="60" xfId="2" applyFont="1" applyBorder="1" applyAlignment="1">
      <alignment horizontal="center" vertical="center"/>
    </xf>
    <xf numFmtId="179" fontId="8" fillId="0" borderId="60" xfId="2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1" fontId="9" fillId="0" borderId="0" xfId="2" applyFont="1" applyAlignment="1">
      <alignment horizontal="left" vertical="center"/>
    </xf>
    <xf numFmtId="41" fontId="3" fillId="0" borderId="0" xfId="2" applyFont="1">
      <alignment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3" fontId="8" fillId="0" borderId="9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41" fontId="8" fillId="0" borderId="9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41" fontId="8" fillId="0" borderId="34" xfId="2" applyFont="1" applyBorder="1" applyAlignment="1">
      <alignment horizontal="center" vertical="center"/>
    </xf>
    <xf numFmtId="41" fontId="8" fillId="0" borderId="33" xfId="2" applyFont="1" applyBorder="1" applyAlignment="1">
      <alignment horizontal="center" vertical="center"/>
    </xf>
    <xf numFmtId="41" fontId="8" fillId="0" borderId="37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8" fontId="8" fillId="0" borderId="33" xfId="2" applyNumberFormat="1" applyFont="1" applyBorder="1" applyAlignment="1">
      <alignment horizontal="right" vertical="center"/>
    </xf>
    <xf numFmtId="178" fontId="8" fillId="0" borderId="37" xfId="2" applyNumberFormat="1" applyFont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41" fontId="8" fillId="0" borderId="12" xfId="2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80" fontId="8" fillId="0" borderId="12" xfId="2" applyNumberFormat="1" applyFont="1" applyBorder="1" applyAlignment="1">
      <alignment horizontal="right" vertical="center"/>
    </xf>
    <xf numFmtId="179" fontId="8" fillId="0" borderId="9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80" fontId="8" fillId="0" borderId="8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0" fontId="17" fillId="0" borderId="39" xfId="0" applyFont="1" applyBorder="1" applyAlignment="1">
      <alignment horizontal="center" vertical="center"/>
    </xf>
    <xf numFmtId="41" fontId="8" fillId="0" borderId="12" xfId="4" applyFont="1" applyBorder="1" applyAlignment="1">
      <alignment horizontal="center" vertical="center"/>
    </xf>
    <xf numFmtId="3" fontId="8" fillId="0" borderId="12" xfId="2" applyNumberFormat="1" applyFont="1" applyBorder="1" applyAlignment="1">
      <alignment horizontal="right" vertical="center"/>
    </xf>
    <xf numFmtId="41" fontId="8" fillId="0" borderId="72" xfId="2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41" fontId="15" fillId="0" borderId="1" xfId="2" applyFont="1" applyBorder="1" applyAlignment="1">
      <alignment horizontal="center" vertical="center" wrapText="1"/>
    </xf>
    <xf numFmtId="41" fontId="15" fillId="0" borderId="12" xfId="2" applyFont="1" applyBorder="1" applyAlignment="1">
      <alignment horizontal="center" vertical="center" wrapText="1"/>
    </xf>
    <xf numFmtId="178" fontId="8" fillId="0" borderId="72" xfId="2" applyNumberFormat="1" applyFont="1" applyBorder="1" applyAlignment="1">
      <alignment horizontal="right" vertical="center"/>
    </xf>
    <xf numFmtId="0" fontId="13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178" fontId="8" fillId="0" borderId="9" xfId="4" applyNumberFormat="1" applyFont="1" applyBorder="1" applyAlignment="1">
      <alignment horizontal="center" vertical="center"/>
    </xf>
    <xf numFmtId="178" fontId="8" fillId="0" borderId="4" xfId="4" applyNumberFormat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1" fontId="15" fillId="0" borderId="73" xfId="4" applyFont="1" applyBorder="1" applyAlignment="1">
      <alignment horizontal="center" vertical="center" wrapText="1"/>
    </xf>
    <xf numFmtId="41" fontId="15" fillId="0" borderId="72" xfId="4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79" fontId="8" fillId="0" borderId="4" xfId="2" applyNumberFormat="1" applyFont="1" applyBorder="1" applyAlignment="1">
      <alignment horizontal="right" vertical="center"/>
    </xf>
    <xf numFmtId="178" fontId="8" fillId="0" borderId="9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41" fontId="15" fillId="0" borderId="11" xfId="2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179" fontId="8" fillId="0" borderId="9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5" fillId="0" borderId="73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69" xfId="0" applyFont="1" applyBorder="1" applyAlignment="1">
      <alignment horizontal="center" vertical="center"/>
    </xf>
    <xf numFmtId="178" fontId="8" fillId="0" borderId="55" xfId="2" applyNumberFormat="1" applyFont="1" applyBorder="1" applyAlignment="1">
      <alignment horizontal="right" vertical="center"/>
    </xf>
    <xf numFmtId="178" fontId="8" fillId="0" borderId="51" xfId="2" applyNumberFormat="1" applyFont="1" applyBorder="1" applyAlignment="1">
      <alignment horizontal="right" vertical="center"/>
    </xf>
    <xf numFmtId="178" fontId="8" fillId="0" borderId="44" xfId="2" applyNumberFormat="1" applyFont="1" applyBorder="1" applyAlignment="1">
      <alignment horizontal="right" vertical="center"/>
    </xf>
    <xf numFmtId="179" fontId="8" fillId="0" borderId="55" xfId="2" applyNumberFormat="1" applyFont="1" applyBorder="1" applyAlignment="1">
      <alignment horizontal="right" vertical="center"/>
    </xf>
    <xf numFmtId="179" fontId="8" fillId="0" borderId="51" xfId="2" applyNumberFormat="1" applyFont="1" applyBorder="1" applyAlignment="1">
      <alignment horizontal="right" vertical="center"/>
    </xf>
    <xf numFmtId="179" fontId="8" fillId="0" borderId="44" xfId="2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0" borderId="55" xfId="2" applyFont="1" applyBorder="1" applyAlignment="1">
      <alignment horizontal="center" vertical="center"/>
    </xf>
    <xf numFmtId="41" fontId="8" fillId="0" borderId="51" xfId="2" applyFont="1" applyBorder="1" applyAlignment="1">
      <alignment horizontal="center" vertical="center"/>
    </xf>
    <xf numFmtId="41" fontId="8" fillId="0" borderId="44" xfId="2" applyFont="1" applyBorder="1" applyAlignment="1">
      <alignment horizontal="center" vertical="center"/>
    </xf>
    <xf numFmtId="179" fontId="8" fillId="0" borderId="55" xfId="4" applyNumberFormat="1" applyFont="1" applyBorder="1">
      <alignment vertical="center"/>
    </xf>
    <xf numFmtId="179" fontId="8" fillId="0" borderId="51" xfId="4" applyNumberFormat="1" applyFont="1" applyBorder="1">
      <alignment vertical="center"/>
    </xf>
    <xf numFmtId="179" fontId="8" fillId="0" borderId="44" xfId="4" applyNumberFormat="1" applyFont="1" applyBorder="1">
      <alignment vertical="center"/>
    </xf>
    <xf numFmtId="179" fontId="8" fillId="0" borderId="55" xfId="2" applyNumberFormat="1" applyFont="1" applyBorder="1">
      <alignment vertical="center"/>
    </xf>
    <xf numFmtId="179" fontId="8" fillId="0" borderId="51" xfId="2" applyNumberFormat="1" applyFont="1" applyBorder="1">
      <alignment vertical="center"/>
    </xf>
    <xf numFmtId="179" fontId="8" fillId="0" borderId="44" xfId="2" applyNumberFormat="1" applyFont="1" applyBorder="1">
      <alignment vertical="center"/>
    </xf>
    <xf numFmtId="178" fontId="8" fillId="0" borderId="55" xfId="4" applyNumberFormat="1" applyFont="1" applyBorder="1" applyAlignment="1">
      <alignment horizontal="right" vertical="center"/>
    </xf>
    <xf numFmtId="178" fontId="8" fillId="0" borderId="44" xfId="4" applyNumberFormat="1" applyFont="1" applyBorder="1" applyAlignment="1">
      <alignment horizontal="right" vertical="center"/>
    </xf>
    <xf numFmtId="178" fontId="8" fillId="0" borderId="51" xfId="4" applyNumberFormat="1" applyFont="1" applyBorder="1" applyAlignment="1">
      <alignment horizontal="right" vertical="center"/>
    </xf>
    <xf numFmtId="179" fontId="8" fillId="0" borderId="55" xfId="4" applyNumberFormat="1" applyFont="1" applyBorder="1" applyAlignment="1">
      <alignment horizontal="right" vertical="center"/>
    </xf>
    <xf numFmtId="179" fontId="8" fillId="0" borderId="51" xfId="4" applyNumberFormat="1" applyFont="1" applyBorder="1" applyAlignment="1">
      <alignment horizontal="right" vertical="center"/>
    </xf>
    <xf numFmtId="179" fontId="8" fillId="0" borderId="44" xfId="4" applyNumberFormat="1" applyFont="1" applyBorder="1" applyAlignment="1">
      <alignment horizontal="right" vertical="center"/>
    </xf>
    <xf numFmtId="178" fontId="8" fillId="0" borderId="61" xfId="4" applyNumberFormat="1" applyFont="1" applyBorder="1" applyAlignment="1">
      <alignment horizontal="right" vertical="center"/>
    </xf>
    <xf numFmtId="183" fontId="7" fillId="0" borderId="28" xfId="0" applyNumberFormat="1" applyFont="1" applyBorder="1" applyAlignment="1">
      <alignment horizontal="center" vertical="center" shrinkToFit="1"/>
    </xf>
    <xf numFmtId="10" fontId="7" fillId="0" borderId="0" xfId="0" applyNumberFormat="1" applyFont="1" applyAlignment="1">
      <alignment horizontal="center" vertical="center"/>
    </xf>
    <xf numFmtId="178" fontId="8" fillId="0" borderId="60" xfId="2" applyNumberFormat="1" applyFont="1" applyBorder="1" applyAlignment="1">
      <alignment horizontal="right" vertical="center"/>
    </xf>
    <xf numFmtId="184" fontId="7" fillId="0" borderId="0" xfId="0" applyNumberFormat="1" applyFont="1" applyAlignment="1">
      <alignment horizontal="center" vertical="center"/>
    </xf>
    <xf numFmtId="179" fontId="8" fillId="0" borderId="60" xfId="2" applyNumberFormat="1" applyFont="1" applyBorder="1">
      <alignment vertical="center"/>
    </xf>
    <xf numFmtId="41" fontId="8" fillId="2" borderId="60" xfId="4" applyFont="1" applyFill="1" applyBorder="1" applyAlignment="1">
      <alignment horizontal="center" vertical="center"/>
    </xf>
    <xf numFmtId="178" fontId="8" fillId="0" borderId="60" xfId="4" applyNumberFormat="1" applyFont="1" applyBorder="1" applyAlignment="1">
      <alignment horizontal="right" vertical="center"/>
    </xf>
    <xf numFmtId="179" fontId="8" fillId="0" borderId="55" xfId="4" applyNumberFormat="1" applyFont="1" applyBorder="1" applyAlignment="1">
      <alignment vertical="center" wrapText="1"/>
    </xf>
    <xf numFmtId="179" fontId="8" fillId="0" borderId="51" xfId="4" applyNumberFormat="1" applyFont="1" applyBorder="1" applyAlignment="1">
      <alignment vertical="center" wrapText="1"/>
    </xf>
    <xf numFmtId="179" fontId="8" fillId="0" borderId="44" xfId="4" applyNumberFormat="1" applyFont="1" applyBorder="1" applyAlignment="1">
      <alignment vertical="center" wrapText="1"/>
    </xf>
    <xf numFmtId="178" fontId="8" fillId="0" borderId="55" xfId="4" applyNumberFormat="1" applyFont="1" applyBorder="1" applyAlignment="1">
      <alignment horizontal="right" vertical="center" wrapText="1"/>
    </xf>
    <xf numFmtId="178" fontId="8" fillId="0" borderId="51" xfId="4" applyNumberFormat="1" applyFont="1" applyBorder="1" applyAlignment="1">
      <alignment horizontal="right" vertical="center" wrapText="1"/>
    </xf>
    <xf numFmtId="178" fontId="8" fillId="0" borderId="44" xfId="4" applyNumberFormat="1" applyFont="1" applyBorder="1" applyAlignment="1">
      <alignment horizontal="right" vertical="center" wrapText="1"/>
    </xf>
    <xf numFmtId="179" fontId="8" fillId="0" borderId="60" xfId="4" applyNumberFormat="1" applyFont="1" applyBorder="1" applyAlignment="1">
      <alignment horizontal="right" vertical="center"/>
    </xf>
    <xf numFmtId="41" fontId="8" fillId="2" borderId="55" xfId="4" applyFont="1" applyFill="1" applyBorder="1" applyAlignment="1">
      <alignment horizontal="center" vertical="center"/>
    </xf>
    <xf numFmtId="41" fontId="8" fillId="2" borderId="51" xfId="4" applyFont="1" applyFill="1" applyBorder="1" applyAlignment="1">
      <alignment horizontal="center" vertical="center"/>
    </xf>
    <xf numFmtId="41" fontId="8" fillId="0" borderId="60" xfId="4" applyFont="1" applyBorder="1" applyAlignment="1">
      <alignment horizontal="center" vertical="center"/>
    </xf>
    <xf numFmtId="41" fontId="8" fillId="2" borderId="44" xfId="4" applyFont="1" applyFill="1" applyBorder="1" applyAlignment="1">
      <alignment horizontal="center" vertical="center"/>
    </xf>
    <xf numFmtId="41" fontId="8" fillId="2" borderId="55" xfId="4" applyFont="1" applyFill="1" applyBorder="1" applyAlignment="1">
      <alignment horizontal="center" vertical="center" wrapText="1"/>
    </xf>
    <xf numFmtId="41" fontId="8" fillId="2" borderId="51" xfId="4" applyFont="1" applyFill="1" applyBorder="1" applyAlignment="1">
      <alignment horizontal="center" vertical="center" wrapText="1"/>
    </xf>
    <xf numFmtId="41" fontId="8" fillId="2" borderId="44" xfId="4" applyFont="1" applyFill="1" applyBorder="1" applyAlignment="1">
      <alignment horizontal="center" vertical="center" wrapText="1"/>
    </xf>
    <xf numFmtId="41" fontId="15" fillId="2" borderId="67" xfId="4" applyFont="1" applyFill="1" applyBorder="1" applyAlignment="1">
      <alignment horizontal="center" vertical="center" wrapText="1"/>
    </xf>
    <xf numFmtId="41" fontId="15" fillId="2" borderId="43" xfId="4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41" fontId="8" fillId="0" borderId="55" xfId="4" applyFont="1" applyBorder="1" applyAlignment="1">
      <alignment horizontal="center" vertical="center" wrapText="1"/>
    </xf>
    <xf numFmtId="41" fontId="8" fillId="0" borderId="51" xfId="4" applyFont="1" applyBorder="1" applyAlignment="1">
      <alignment horizontal="center" vertical="center" wrapText="1"/>
    </xf>
    <xf numFmtId="41" fontId="8" fillId="0" borderId="44" xfId="4" applyFont="1" applyBorder="1" applyAlignment="1">
      <alignment horizontal="center" vertical="center" wrapText="1"/>
    </xf>
    <xf numFmtId="41" fontId="8" fillId="0" borderId="60" xfId="2" applyFont="1" applyBorder="1" applyAlignment="1">
      <alignment horizontal="center" vertical="center"/>
    </xf>
    <xf numFmtId="178" fontId="15" fillId="0" borderId="1" xfId="2" applyNumberFormat="1" applyFont="1" applyBorder="1" applyAlignment="1">
      <alignment horizontal="right" vertical="center" wrapText="1"/>
    </xf>
    <xf numFmtId="178" fontId="15" fillId="0" borderId="12" xfId="2" applyNumberFormat="1" applyFont="1" applyBorder="1" applyAlignment="1">
      <alignment horizontal="right" vertical="center" wrapText="1"/>
    </xf>
    <xf numFmtId="41" fontId="8" fillId="0" borderId="55" xfId="2" applyFont="1" applyBorder="1" applyAlignment="1">
      <alignment horizontal="right" vertical="center"/>
    </xf>
    <xf numFmtId="41" fontId="8" fillId="0" borderId="51" xfId="2" applyFont="1" applyBorder="1" applyAlignment="1">
      <alignment horizontal="right" vertical="center"/>
    </xf>
    <xf numFmtId="41" fontId="8" fillId="0" borderId="44" xfId="2" applyFont="1" applyBorder="1" applyAlignment="1">
      <alignment horizontal="right" vertical="center"/>
    </xf>
    <xf numFmtId="41" fontId="8" fillId="0" borderId="55" xfId="4" applyFont="1" applyBorder="1" applyAlignment="1">
      <alignment horizontal="center" vertical="center"/>
    </xf>
    <xf numFmtId="41" fontId="8" fillId="0" borderId="44" xfId="4" applyFont="1" applyBorder="1" applyAlignment="1">
      <alignment horizontal="center" vertical="center"/>
    </xf>
    <xf numFmtId="41" fontId="8" fillId="0" borderId="51" xfId="4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/>
    </xf>
    <xf numFmtId="41" fontId="8" fillId="0" borderId="55" xfId="2" applyFont="1" applyBorder="1" applyAlignment="1">
      <alignment horizontal="center" vertical="center" wrapText="1"/>
    </xf>
    <xf numFmtId="41" fontId="8" fillId="0" borderId="51" xfId="2" applyFont="1" applyBorder="1" applyAlignment="1">
      <alignment horizontal="center" vertical="center" wrapText="1"/>
    </xf>
    <xf numFmtId="41" fontId="8" fillId="0" borderId="44" xfId="2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2" xfId="0" applyFont="1" applyBorder="1" applyAlignment="1">
      <alignment horizontal="center" vertical="top" wrapText="1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41" fontId="15" fillId="0" borderId="56" xfId="2" applyFont="1" applyBorder="1" applyAlignment="1">
      <alignment horizontal="center" vertical="center"/>
    </xf>
    <xf numFmtId="179" fontId="8" fillId="0" borderId="60" xfId="4" applyNumberFormat="1" applyFont="1" applyBorder="1">
      <alignment vertical="center"/>
    </xf>
    <xf numFmtId="179" fontId="8" fillId="0" borderId="53" xfId="4" applyNumberFormat="1" applyFont="1" applyBorder="1">
      <alignment vertical="center"/>
    </xf>
    <xf numFmtId="179" fontId="8" fillId="0" borderId="54" xfId="4" applyNumberFormat="1" applyFont="1" applyBorder="1">
      <alignment vertical="center"/>
    </xf>
    <xf numFmtId="0" fontId="13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 shrinkToFit="1"/>
    </xf>
    <xf numFmtId="0" fontId="7" fillId="0" borderId="36" xfId="0" applyFont="1" applyBorder="1" applyAlignment="1">
      <alignment horizontal="center" vertical="center" wrapText="1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wrapText="1"/>
    </xf>
    <xf numFmtId="178" fontId="8" fillId="0" borderId="68" xfId="2" applyNumberFormat="1" applyFont="1" applyBorder="1" applyAlignment="1">
      <alignment horizontal="right" vertical="center"/>
    </xf>
    <xf numFmtId="179" fontId="8" fillId="0" borderId="68" xfId="2" applyNumberFormat="1" applyFont="1" applyBorder="1" applyAlignment="1">
      <alignment horizontal="right" vertical="center"/>
    </xf>
    <xf numFmtId="0" fontId="7" fillId="0" borderId="71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/>
    </xf>
    <xf numFmtId="178" fontId="8" fillId="0" borderId="55" xfId="0" applyNumberFormat="1" applyFont="1" applyBorder="1" applyAlignment="1">
      <alignment horizontal="right" vertical="center"/>
    </xf>
    <xf numFmtId="178" fontId="8" fillId="0" borderId="44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9" fontId="8" fillId="0" borderId="51" xfId="0" applyNumberFormat="1" applyFont="1" applyBorder="1">
      <alignment vertical="center"/>
    </xf>
    <xf numFmtId="0" fontId="7" fillId="0" borderId="16" xfId="0" applyFont="1" applyFill="1" applyBorder="1" applyAlignment="1">
      <alignment horizontal="left" vertical="center"/>
    </xf>
    <xf numFmtId="41" fontId="7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18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quotePrefix="1" applyFont="1" applyFill="1" applyAlignment="1">
      <alignment horizontal="center" vertical="center"/>
    </xf>
    <xf numFmtId="0" fontId="7" fillId="0" borderId="25" xfId="0" applyFont="1" applyFill="1" applyBorder="1">
      <alignment vertical="center"/>
    </xf>
    <xf numFmtId="0" fontId="11" fillId="0" borderId="16" xfId="0" applyFont="1" applyBorder="1" applyAlignment="1">
      <alignment horizontal="left" vertical="center"/>
    </xf>
    <xf numFmtId="0" fontId="7" fillId="0" borderId="0" xfId="0" applyFont="1" applyAlignment="1">
      <alignment horizontal="left" vertical="top" wrapText="1"/>
    </xf>
    <xf numFmtId="0" fontId="7" fillId="0" borderId="54" xfId="0" applyFont="1" applyBorder="1">
      <alignment vertical="center"/>
    </xf>
    <xf numFmtId="179" fontId="7" fillId="0" borderId="60" xfId="2" applyNumberFormat="1" applyFont="1" applyBorder="1" applyAlignment="1">
      <alignment horizontal="right" vertical="center"/>
    </xf>
    <xf numFmtId="0" fontId="16" fillId="0" borderId="3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41" fontId="7" fillId="0" borderId="26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7" fillId="0" borderId="6" xfId="0" quotePrefix="1" applyFont="1" applyBorder="1" applyAlignment="1">
      <alignment horizontal="left" vertical="center" shrinkToFit="1"/>
    </xf>
    <xf numFmtId="0" fontId="7" fillId="0" borderId="28" xfId="0" applyFont="1" applyBorder="1" applyAlignment="1">
      <alignment horizontal="center" vertical="center" shrinkToFit="1"/>
    </xf>
    <xf numFmtId="0" fontId="7" fillId="0" borderId="64" xfId="0" applyFont="1" applyBorder="1" applyAlignment="1">
      <alignment horizontal="left" vertical="center"/>
    </xf>
    <xf numFmtId="41" fontId="7" fillId="0" borderId="6" xfId="2" applyFont="1" applyBorder="1">
      <alignment vertical="center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0"/>
  <sheetViews>
    <sheetView topLeftCell="A4" zoomScaleNormal="100" zoomScaleSheetLayoutView="75" workbookViewId="0">
      <selection activeCell="O14" sqref="O14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391" t="s">
        <v>458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</row>
    <row r="3" spans="1:16">
      <c r="B3" s="1"/>
    </row>
    <row r="4" spans="1:16">
      <c r="B4" s="1"/>
    </row>
    <row r="5" spans="1:16" ht="21.75" customHeight="1">
      <c r="B5" s="324" t="s">
        <v>324</v>
      </c>
      <c r="C5" s="392" t="s">
        <v>464</v>
      </c>
      <c r="D5" s="392"/>
      <c r="E5" s="392"/>
      <c r="F5" s="392"/>
      <c r="G5" s="392"/>
      <c r="H5" s="392"/>
      <c r="I5" s="392"/>
      <c r="J5" s="392"/>
      <c r="K5" s="392"/>
      <c r="L5" s="392"/>
      <c r="M5" s="392"/>
      <c r="N5" s="392"/>
      <c r="O5" s="392"/>
    </row>
    <row r="6" spans="1:16" ht="21.75" customHeight="1">
      <c r="B6" s="324"/>
      <c r="C6" s="393" t="s">
        <v>465</v>
      </c>
      <c r="D6" s="393"/>
      <c r="E6" s="393"/>
      <c r="F6" s="393"/>
      <c r="G6" s="393"/>
      <c r="H6" s="393"/>
      <c r="I6" s="393"/>
      <c r="J6" s="393"/>
      <c r="K6" s="393"/>
      <c r="L6" s="393"/>
      <c r="M6" s="325"/>
      <c r="N6" s="325"/>
      <c r="O6" s="325"/>
    </row>
    <row r="7" spans="1:16" ht="21.75" customHeight="1">
      <c r="B7" s="2"/>
      <c r="C7" s="396" t="s">
        <v>158</v>
      </c>
      <c r="D7" s="396"/>
      <c r="E7" s="397" t="s">
        <v>158</v>
      </c>
      <c r="F7" s="397"/>
      <c r="G7" s="396"/>
      <c r="H7" s="396"/>
      <c r="I7" s="396"/>
      <c r="J7" s="396"/>
      <c r="K7" s="396"/>
      <c r="L7" s="396"/>
      <c r="M7" s="3"/>
      <c r="N7" s="3"/>
      <c r="O7" s="3"/>
    </row>
    <row r="8" spans="1:16" ht="21.75" customHeight="1">
      <c r="B8" s="2" t="s">
        <v>115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363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359</v>
      </c>
      <c r="E10" s="3"/>
      <c r="F10" s="394">
        <v>131226.76500000001</v>
      </c>
      <c r="G10" s="394"/>
      <c r="H10" s="3" t="s">
        <v>175</v>
      </c>
      <c r="I10" s="3" t="s">
        <v>214</v>
      </c>
      <c r="J10" s="394">
        <v>1310</v>
      </c>
      <c r="K10" s="394"/>
      <c r="L10" s="3" t="s">
        <v>175</v>
      </c>
      <c r="M10" s="3"/>
      <c r="N10" s="3"/>
      <c r="O10" s="3"/>
    </row>
    <row r="11" spans="1:16" ht="21.75" customHeight="1">
      <c r="B11" s="2"/>
      <c r="C11" s="2"/>
      <c r="D11" s="2" t="s">
        <v>257</v>
      </c>
      <c r="E11" s="3"/>
      <c r="F11" s="394">
        <v>0</v>
      </c>
      <c r="G11" s="394"/>
      <c r="H11" s="3" t="s">
        <v>175</v>
      </c>
      <c r="I11" s="3" t="s">
        <v>248</v>
      </c>
      <c r="J11" s="394">
        <v>2678816.2898399998</v>
      </c>
      <c r="K11" s="394"/>
      <c r="L11" s="3" t="s">
        <v>175</v>
      </c>
      <c r="M11" s="3"/>
      <c r="N11" s="3"/>
      <c r="O11" s="3"/>
    </row>
    <row r="12" spans="1:16" ht="21.75" customHeight="1">
      <c r="B12" s="2"/>
      <c r="C12" s="2"/>
      <c r="D12" s="2" t="s">
        <v>186</v>
      </c>
      <c r="E12" s="3"/>
      <c r="F12" s="394">
        <v>1657784</v>
      </c>
      <c r="G12" s="394"/>
      <c r="H12" s="3" t="s">
        <v>175</v>
      </c>
      <c r="I12" s="2" t="s">
        <v>263</v>
      </c>
      <c r="J12" s="395">
        <v>5440197.1209999993</v>
      </c>
      <c r="K12" s="395"/>
      <c r="L12" s="3" t="s">
        <v>175</v>
      </c>
      <c r="M12" s="3"/>
      <c r="N12" s="3"/>
      <c r="O12" s="3"/>
    </row>
    <row r="13" spans="1:16" ht="21.75" customHeight="1">
      <c r="B13" s="2"/>
      <c r="C13" s="2"/>
      <c r="D13" s="2" t="s">
        <v>332</v>
      </c>
      <c r="F13" s="394">
        <v>184201</v>
      </c>
      <c r="G13" s="394"/>
      <c r="H13" s="3" t="s">
        <v>175</v>
      </c>
      <c r="I13" s="3"/>
      <c r="J13" s="395"/>
      <c r="K13" s="398"/>
      <c r="L13" s="3"/>
      <c r="M13" s="3"/>
      <c r="N13" s="3"/>
      <c r="O13" s="3"/>
    </row>
    <row r="14" spans="1:16" ht="21.75" customHeight="1">
      <c r="B14" s="2"/>
      <c r="C14" s="2" t="s">
        <v>177</v>
      </c>
      <c r="D14" s="3"/>
      <c r="E14" s="3"/>
      <c r="F14" s="3"/>
      <c r="G14" s="3"/>
      <c r="H14" s="3"/>
      <c r="I14" s="3"/>
      <c r="J14" s="401"/>
      <c r="K14" s="401"/>
      <c r="L14" s="3"/>
      <c r="M14" s="3"/>
      <c r="N14" s="3"/>
      <c r="O14" s="3"/>
    </row>
    <row r="15" spans="1:16" ht="21.75" customHeight="1">
      <c r="B15" s="2"/>
      <c r="C15" s="2"/>
      <c r="D15" s="2" t="s">
        <v>250</v>
      </c>
      <c r="E15" s="3"/>
      <c r="F15" s="394">
        <v>1602621.3796349999</v>
      </c>
      <c r="G15" s="394"/>
      <c r="H15" s="3" t="s">
        <v>175</v>
      </c>
      <c r="I15" s="3" t="s">
        <v>29</v>
      </c>
      <c r="J15" s="394">
        <v>2352887</v>
      </c>
      <c r="K15" s="394"/>
      <c r="L15" s="3" t="s">
        <v>175</v>
      </c>
      <c r="M15" s="3"/>
      <c r="N15" s="3"/>
      <c r="O15" s="3"/>
    </row>
    <row r="16" spans="1:16" ht="21.75" customHeight="1">
      <c r="B16" s="2"/>
      <c r="C16" s="2"/>
      <c r="D16" s="2" t="s">
        <v>245</v>
      </c>
      <c r="E16" s="3"/>
      <c r="F16" s="394">
        <v>1691951.3599999999</v>
      </c>
      <c r="G16" s="394"/>
      <c r="H16" s="3" t="s">
        <v>175</v>
      </c>
      <c r="I16" s="3" t="s">
        <v>39</v>
      </c>
      <c r="J16" s="394">
        <v>0</v>
      </c>
      <c r="K16" s="394"/>
      <c r="L16" s="3" t="s">
        <v>175</v>
      </c>
      <c r="M16" s="3"/>
      <c r="N16" s="3"/>
      <c r="O16" s="3"/>
    </row>
    <row r="17" spans="2:15" ht="21.75" customHeight="1">
      <c r="B17" s="2"/>
      <c r="C17" s="2"/>
      <c r="D17" s="2" t="s">
        <v>202</v>
      </c>
      <c r="E17" s="3"/>
      <c r="F17" s="394">
        <v>45000</v>
      </c>
      <c r="G17" s="394"/>
      <c r="H17" s="3" t="s">
        <v>175</v>
      </c>
      <c r="I17" s="3" t="s">
        <v>210</v>
      </c>
      <c r="J17" s="394">
        <v>0</v>
      </c>
      <c r="K17" s="394"/>
      <c r="L17" s="3" t="s">
        <v>175</v>
      </c>
      <c r="M17" s="3"/>
      <c r="N17" s="3"/>
      <c r="O17" s="3"/>
    </row>
    <row r="18" spans="2:15" ht="21.75" customHeight="1">
      <c r="B18" s="2"/>
      <c r="C18" s="2"/>
      <c r="D18" s="2" t="s">
        <v>55</v>
      </c>
      <c r="E18" s="3"/>
      <c r="F18" s="394">
        <v>1542407.9428196</v>
      </c>
      <c r="G18" s="394"/>
      <c r="H18" s="3" t="s">
        <v>175</v>
      </c>
      <c r="I18" s="4" t="s">
        <v>51</v>
      </c>
      <c r="J18" s="394">
        <v>2858666.9559999998</v>
      </c>
      <c r="K18" s="394"/>
      <c r="L18" s="3" t="s">
        <v>175</v>
      </c>
      <c r="M18" s="3"/>
      <c r="N18" s="3"/>
      <c r="O18" s="3"/>
    </row>
    <row r="19" spans="2:15" ht="21.75" customHeight="1">
      <c r="B19" s="2"/>
      <c r="C19" s="2"/>
      <c r="D19" s="2"/>
      <c r="E19" s="3"/>
      <c r="F19" s="394"/>
      <c r="G19" s="394"/>
      <c r="H19" s="3"/>
      <c r="I19" s="3"/>
      <c r="J19" s="3"/>
      <c r="K19" s="3"/>
      <c r="L19" s="3"/>
      <c r="M19" s="3"/>
      <c r="N19" s="3"/>
      <c r="O19" s="3"/>
    </row>
    <row r="20" spans="2:15" ht="21.75" customHeight="1">
      <c r="B20" s="2" t="s">
        <v>445</v>
      </c>
      <c r="C20" s="3" t="s">
        <v>117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>
      <c r="B21" s="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ht="21.75" customHeight="1">
      <c r="B22" s="2"/>
      <c r="C22" s="3"/>
      <c r="D22" s="399"/>
      <c r="E22" s="399"/>
      <c r="F22" s="400"/>
      <c r="G22" s="400"/>
      <c r="H22" s="3"/>
      <c r="I22" s="3"/>
      <c r="J22" s="3"/>
      <c r="K22" s="3"/>
    </row>
    <row r="23" spans="2:15" ht="21.75" customHeight="1">
      <c r="B23" s="2"/>
      <c r="C23" s="3" t="s">
        <v>158</v>
      </c>
      <c r="D23" s="399"/>
      <c r="E23" s="399"/>
      <c r="F23" s="400"/>
      <c r="G23" s="400"/>
      <c r="H23" s="3"/>
      <c r="I23" s="3"/>
      <c r="J23" s="3"/>
      <c r="K23" s="3"/>
    </row>
    <row r="24" spans="2:15" ht="21.75" customHeight="1">
      <c r="B24" s="2"/>
      <c r="C24" s="3"/>
      <c r="D24" s="399"/>
      <c r="E24" s="399"/>
      <c r="F24" s="400"/>
      <c r="G24" s="400"/>
      <c r="H24" s="3"/>
      <c r="I24" s="3"/>
      <c r="J24" s="3"/>
      <c r="K24" s="3"/>
    </row>
    <row r="25" spans="2:15" ht="21.75" customHeight="1">
      <c r="B25" s="2"/>
      <c r="C25" s="3"/>
      <c r="D25" s="3"/>
      <c r="E25" s="3"/>
      <c r="F25" s="3"/>
      <c r="G25" s="3"/>
      <c r="H25" s="3"/>
      <c r="I25" s="3"/>
      <c r="J25" s="3"/>
      <c r="K25" s="3"/>
    </row>
    <row r="26" spans="2:15" ht="21.75" customHeight="1">
      <c r="B26" s="2"/>
      <c r="C26" s="3"/>
      <c r="D26" s="3"/>
      <c r="E26" s="3"/>
      <c r="F26" s="3"/>
      <c r="G26" s="3"/>
      <c r="H26" s="3"/>
      <c r="I26" s="3"/>
      <c r="J26" s="3"/>
      <c r="K26" s="3"/>
    </row>
    <row r="27" spans="2:15" ht="21.75" customHeight="1">
      <c r="B27" s="2"/>
      <c r="C27" s="3"/>
      <c r="D27" s="3"/>
      <c r="E27" s="3"/>
      <c r="F27" s="3"/>
      <c r="G27" s="3"/>
      <c r="H27" s="3"/>
      <c r="I27" s="3"/>
      <c r="J27" s="3"/>
      <c r="K27" s="3"/>
    </row>
    <row r="28" spans="2:15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5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5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</sheetData>
  <mergeCells count="30">
    <mergeCell ref="J18:K18"/>
    <mergeCell ref="F24:G24"/>
    <mergeCell ref="F19:G19"/>
    <mergeCell ref="F22:G22"/>
    <mergeCell ref="J14:K14"/>
    <mergeCell ref="J15:K15"/>
    <mergeCell ref="D24:E24"/>
    <mergeCell ref="D22:E22"/>
    <mergeCell ref="D23:E23"/>
    <mergeCell ref="F10:G10"/>
    <mergeCell ref="F11:G11"/>
    <mergeCell ref="F23:G23"/>
    <mergeCell ref="F12:G12"/>
    <mergeCell ref="F15:G15"/>
    <mergeCell ref="F13:G13"/>
    <mergeCell ref="F17:G17"/>
    <mergeCell ref="F18:G18"/>
    <mergeCell ref="F16:G16"/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Z101"/>
  <sheetViews>
    <sheetView tabSelected="1" view="pageBreakPreview" zoomScaleNormal="100" zoomScaleSheetLayoutView="100" workbookViewId="0">
      <selection sqref="A1:Q1"/>
    </sheetView>
  </sheetViews>
  <sheetFormatPr defaultColWidth="9" defaultRowHeight="16.5"/>
  <cols>
    <col min="1" max="2" width="7.125" style="107" customWidth="1"/>
    <col min="3" max="3" width="13.25" style="107" customWidth="1"/>
    <col min="4" max="5" width="13.125" style="130" customWidth="1"/>
    <col min="6" max="6" width="0.125" style="130" hidden="1" customWidth="1"/>
    <col min="7" max="7" width="11.625" style="131" customWidth="1"/>
    <col min="8" max="8" width="8.125" style="132" customWidth="1"/>
    <col min="9" max="9" width="20.75" style="25" customWidth="1"/>
    <col min="10" max="10" width="12.5" style="25" customWidth="1"/>
    <col min="11" max="11" width="3.125" style="26" customWidth="1"/>
    <col min="12" max="12" width="2.625" style="26" customWidth="1"/>
    <col min="13" max="14" width="3.125" style="25" customWidth="1"/>
    <col min="15" max="15" width="2.625" style="25" customWidth="1"/>
    <col min="16" max="16" width="13.625" style="25" customWidth="1"/>
    <col min="17" max="17" width="2.5" style="25" customWidth="1"/>
    <col min="18" max="18" width="0.125" style="5" customWidth="1"/>
    <col min="19" max="19" width="11.5" style="5" customWidth="1"/>
    <col min="20" max="16384" width="9" style="5"/>
  </cols>
  <sheetData>
    <row r="1" spans="1:17" ht="22.5">
      <c r="A1" s="451" t="s">
        <v>450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</row>
    <row r="2" spans="1:17" ht="22.5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</row>
    <row r="3" spans="1:17" ht="21.95" customHeight="1">
      <c r="A3" s="450" t="s">
        <v>321</v>
      </c>
      <c r="B3" s="450"/>
      <c r="C3" s="7"/>
      <c r="D3" s="7"/>
      <c r="E3" s="7"/>
      <c r="F3" s="7"/>
      <c r="G3" s="8"/>
      <c r="H3" s="9"/>
      <c r="I3" s="7"/>
      <c r="J3" s="7" t="s">
        <v>158</v>
      </c>
      <c r="K3" s="7"/>
      <c r="L3" s="7"/>
      <c r="M3" s="7"/>
      <c r="N3" s="7"/>
      <c r="O3" s="446" t="s">
        <v>25</v>
      </c>
      <c r="P3" s="446"/>
      <c r="Q3" s="446"/>
    </row>
    <row r="4" spans="1:17" ht="19.5" customHeight="1">
      <c r="A4" s="454" t="s">
        <v>162</v>
      </c>
      <c r="B4" s="458" t="s">
        <v>123</v>
      </c>
      <c r="C4" s="464" t="s">
        <v>120</v>
      </c>
      <c r="D4" s="447" t="s">
        <v>452</v>
      </c>
      <c r="E4" s="447" t="s">
        <v>451</v>
      </c>
      <c r="F4" s="456" t="s">
        <v>180</v>
      </c>
      <c r="G4" s="466" t="s">
        <v>360</v>
      </c>
      <c r="H4" s="466"/>
      <c r="I4" s="471" t="s">
        <v>415</v>
      </c>
      <c r="J4" s="458"/>
      <c r="K4" s="458"/>
      <c r="L4" s="458"/>
      <c r="M4" s="458"/>
      <c r="N4" s="458"/>
      <c r="O4" s="458"/>
      <c r="P4" s="458"/>
      <c r="Q4" s="472"/>
    </row>
    <row r="5" spans="1:17" ht="19.5" customHeight="1">
      <c r="A5" s="455"/>
      <c r="B5" s="459"/>
      <c r="C5" s="465"/>
      <c r="D5" s="448"/>
      <c r="E5" s="448"/>
      <c r="F5" s="457"/>
      <c r="G5" s="10" t="s">
        <v>140</v>
      </c>
      <c r="H5" s="11" t="s">
        <v>317</v>
      </c>
      <c r="I5" s="473"/>
      <c r="J5" s="459"/>
      <c r="K5" s="459"/>
      <c r="L5" s="459"/>
      <c r="M5" s="459"/>
      <c r="N5" s="459"/>
      <c r="O5" s="459"/>
      <c r="P5" s="459"/>
      <c r="Q5" s="474"/>
    </row>
    <row r="6" spans="1:17" ht="20.100000000000001" customHeight="1">
      <c r="A6" s="477" t="s">
        <v>354</v>
      </c>
      <c r="B6" s="478"/>
      <c r="C6" s="479"/>
      <c r="D6" s="12">
        <f>SUM(D7,D65,D36,D80,D26,D32,D85)</f>
        <v>9472995.1209999993</v>
      </c>
      <c r="E6" s="12">
        <f>SUM(E7,E65,E36,E80,E26,E32,E85)</f>
        <v>10093535.718839999</v>
      </c>
      <c r="F6" s="13" t="e">
        <f>SUM(F7,#REF!,F65,F36,F80,F26,#REF!,#REF!,F32)</f>
        <v>#REF!</v>
      </c>
      <c r="G6" s="14">
        <f>+E6-D6</f>
        <v>620540.59783999994</v>
      </c>
      <c r="H6" s="15">
        <f>+G6/D6*100</f>
        <v>6.5506272294426529</v>
      </c>
      <c r="I6" s="16"/>
      <c r="J6" s="16"/>
      <c r="K6" s="17"/>
      <c r="L6" s="17"/>
      <c r="M6" s="16"/>
      <c r="N6" s="16"/>
      <c r="O6" s="16"/>
      <c r="P6" s="323">
        <f>SUM(P7,P26,P32,P36,P65,P80,P85)</f>
        <v>10093535118.84</v>
      </c>
      <c r="Q6" s="18" t="s">
        <v>146</v>
      </c>
    </row>
    <row r="7" spans="1:17" s="29" customFormat="1" ht="18.95" customHeight="1">
      <c r="A7" s="19" t="s">
        <v>164</v>
      </c>
      <c r="B7" s="475" t="s">
        <v>165</v>
      </c>
      <c r="C7" s="476"/>
      <c r="D7" s="20">
        <f>SUM(D8)</f>
        <v>130992</v>
      </c>
      <c r="E7" s="21">
        <f>SUM(E8)</f>
        <v>131227.30800000002</v>
      </c>
      <c r="F7" s="22">
        <f>SUM(F8)</f>
        <v>71084</v>
      </c>
      <c r="G7" s="23">
        <f>+E7-D7</f>
        <v>235.30800000001909</v>
      </c>
      <c r="H7" s="24">
        <f>+G7/D7*100</f>
        <v>0.17963539758154629</v>
      </c>
      <c r="I7" s="25"/>
      <c r="J7" s="25"/>
      <c r="K7" s="26"/>
      <c r="L7" s="26"/>
      <c r="M7" s="25"/>
      <c r="N7" s="25"/>
      <c r="O7" s="25"/>
      <c r="P7" s="27">
        <f>P8</f>
        <v>131227308</v>
      </c>
      <c r="Q7" s="28" t="s">
        <v>146</v>
      </c>
    </row>
    <row r="8" spans="1:17" s="29" customFormat="1" ht="17.100000000000001" customHeight="1">
      <c r="A8" s="19" t="s">
        <v>150</v>
      </c>
      <c r="B8" s="31" t="s">
        <v>152</v>
      </c>
      <c r="C8" s="333" t="s">
        <v>166</v>
      </c>
      <c r="D8" s="327">
        <f>SUM(D9:D25)</f>
        <v>130992</v>
      </c>
      <c r="E8" s="331">
        <f>SUM(E9:E25)</f>
        <v>131227.30800000002</v>
      </c>
      <c r="F8" s="32">
        <f>SUM(F9:F23)</f>
        <v>71084</v>
      </c>
      <c r="G8" s="33">
        <f>+E8-D8</f>
        <v>235.30800000001909</v>
      </c>
      <c r="H8" s="348">
        <f>+G8/D8*100</f>
        <v>0.17963539758154629</v>
      </c>
      <c r="I8" s="34"/>
      <c r="J8" s="34"/>
      <c r="K8" s="35"/>
      <c r="L8" s="35"/>
      <c r="M8" s="34"/>
      <c r="N8" s="34"/>
      <c r="O8" s="34"/>
      <c r="P8" s="36">
        <f>SUM(P9,P17,P19,P24)</f>
        <v>131227308</v>
      </c>
      <c r="Q8" s="37" t="s">
        <v>146</v>
      </c>
    </row>
    <row r="9" spans="1:17" s="29" customFormat="1" ht="17.100000000000001" customHeight="1">
      <c r="A9" s="38"/>
      <c r="B9" s="39" t="s">
        <v>327</v>
      </c>
      <c r="C9" s="421" t="s">
        <v>243</v>
      </c>
      <c r="D9" s="407">
        <v>77394</v>
      </c>
      <c r="E9" s="417">
        <f>P9/1000</f>
        <v>70734.543000000005</v>
      </c>
      <c r="F9" s="40">
        <v>0</v>
      </c>
      <c r="G9" s="461">
        <f>+E9-D9</f>
        <v>-6659.4569999999949</v>
      </c>
      <c r="H9" s="468">
        <f>+G9/D9*100</f>
        <v>-8.6046166369485935</v>
      </c>
      <c r="I9" s="41"/>
      <c r="J9" s="42"/>
      <c r="K9" s="330"/>
      <c r="L9" s="330"/>
      <c r="M9" s="420" t="s">
        <v>159</v>
      </c>
      <c r="N9" s="420"/>
      <c r="O9" s="420"/>
      <c r="P9" s="42">
        <f>SUM(P10:P16)</f>
        <v>70734543</v>
      </c>
      <c r="Q9" s="37" t="s">
        <v>146</v>
      </c>
    </row>
    <row r="10" spans="1:17" s="29" customFormat="1" ht="17.100000000000001" customHeight="1">
      <c r="A10" s="38"/>
      <c r="B10" s="326"/>
      <c r="C10" s="422"/>
      <c r="D10" s="408"/>
      <c r="E10" s="418"/>
      <c r="F10" s="43"/>
      <c r="G10" s="467"/>
      <c r="H10" s="469"/>
      <c r="I10" s="44" t="s">
        <v>178</v>
      </c>
      <c r="J10" s="45">
        <v>900000</v>
      </c>
      <c r="K10" s="381" t="s">
        <v>146</v>
      </c>
      <c r="L10" s="46" t="s">
        <v>121</v>
      </c>
      <c r="M10" s="381">
        <v>12</v>
      </c>
      <c r="N10" s="381" t="s">
        <v>129</v>
      </c>
      <c r="O10" s="381" t="s">
        <v>136</v>
      </c>
      <c r="P10" s="45">
        <f t="shared" ref="P10:P16" si="0">SUM(J10*M10)</f>
        <v>10800000</v>
      </c>
      <c r="Q10" s="47" t="s">
        <v>146</v>
      </c>
    </row>
    <row r="11" spans="1:17" s="29" customFormat="1" ht="17.100000000000001" customHeight="1">
      <c r="A11" s="38"/>
      <c r="B11" s="326"/>
      <c r="C11" s="422"/>
      <c r="D11" s="408"/>
      <c r="E11" s="418"/>
      <c r="F11" s="48"/>
      <c r="G11" s="467"/>
      <c r="H11" s="469"/>
      <c r="I11" s="49" t="s">
        <v>378</v>
      </c>
      <c r="J11" s="45">
        <v>540000</v>
      </c>
      <c r="K11" s="381" t="s">
        <v>146</v>
      </c>
      <c r="L11" s="46" t="s">
        <v>121</v>
      </c>
      <c r="M11" s="381">
        <v>12</v>
      </c>
      <c r="N11" s="381" t="s">
        <v>129</v>
      </c>
      <c r="O11" s="381" t="s">
        <v>136</v>
      </c>
      <c r="P11" s="45">
        <f t="shared" si="0"/>
        <v>6480000</v>
      </c>
      <c r="Q11" s="47" t="s">
        <v>146</v>
      </c>
    </row>
    <row r="12" spans="1:17" s="29" customFormat="1" ht="17.100000000000001" customHeight="1">
      <c r="A12" s="38"/>
      <c r="B12" s="326"/>
      <c r="C12" s="422"/>
      <c r="D12" s="408"/>
      <c r="E12" s="418"/>
      <c r="F12" s="43"/>
      <c r="G12" s="467"/>
      <c r="H12" s="469"/>
      <c r="I12" s="49" t="s">
        <v>61</v>
      </c>
      <c r="J12" s="45">
        <v>2100000</v>
      </c>
      <c r="K12" s="381" t="s">
        <v>146</v>
      </c>
      <c r="L12" s="46" t="s">
        <v>121</v>
      </c>
      <c r="M12" s="381">
        <v>7</v>
      </c>
      <c r="N12" s="381" t="s">
        <v>129</v>
      </c>
      <c r="O12" s="381" t="s">
        <v>136</v>
      </c>
      <c r="P12" s="45">
        <f t="shared" si="0"/>
        <v>14700000</v>
      </c>
      <c r="Q12" s="47" t="s">
        <v>146</v>
      </c>
    </row>
    <row r="13" spans="1:17" s="29" customFormat="1" ht="17.100000000000001" customHeight="1">
      <c r="A13" s="38"/>
      <c r="B13" s="326"/>
      <c r="C13" s="422"/>
      <c r="D13" s="408"/>
      <c r="E13" s="418"/>
      <c r="F13" s="43"/>
      <c r="G13" s="467"/>
      <c r="H13" s="469"/>
      <c r="I13" s="49" t="s">
        <v>19</v>
      </c>
      <c r="J13" s="45">
        <v>1300000</v>
      </c>
      <c r="K13" s="381" t="s">
        <v>146</v>
      </c>
      <c r="L13" s="46" t="s">
        <v>121</v>
      </c>
      <c r="M13" s="381">
        <v>12</v>
      </c>
      <c r="N13" s="381" t="s">
        <v>129</v>
      </c>
      <c r="O13" s="381" t="s">
        <v>136</v>
      </c>
      <c r="P13" s="45">
        <f t="shared" si="0"/>
        <v>15600000</v>
      </c>
      <c r="Q13" s="47" t="s">
        <v>146</v>
      </c>
    </row>
    <row r="14" spans="1:17" s="29" customFormat="1" ht="17.100000000000001" customHeight="1">
      <c r="A14" s="38"/>
      <c r="B14" s="326"/>
      <c r="C14" s="422"/>
      <c r="D14" s="408"/>
      <c r="E14" s="418"/>
      <c r="F14" s="43"/>
      <c r="G14" s="467"/>
      <c r="H14" s="469"/>
      <c r="I14" s="49" t="s">
        <v>74</v>
      </c>
      <c r="J14" s="45">
        <v>100000</v>
      </c>
      <c r="K14" s="381" t="s">
        <v>146</v>
      </c>
      <c r="L14" s="46" t="s">
        <v>121</v>
      </c>
      <c r="M14" s="381">
        <v>12</v>
      </c>
      <c r="N14" s="381" t="s">
        <v>129</v>
      </c>
      <c r="O14" s="381" t="s">
        <v>136</v>
      </c>
      <c r="P14" s="45">
        <f>SUM(J14*M14)</f>
        <v>1200000</v>
      </c>
      <c r="Q14" s="47" t="s">
        <v>146</v>
      </c>
    </row>
    <row r="15" spans="1:17" s="29" customFormat="1" ht="17.100000000000001" customHeight="1">
      <c r="A15" s="38"/>
      <c r="B15" s="326"/>
      <c r="C15" s="422"/>
      <c r="D15" s="408"/>
      <c r="E15" s="418"/>
      <c r="F15" s="43"/>
      <c r="G15" s="467"/>
      <c r="H15" s="469"/>
      <c r="I15" s="49" t="s">
        <v>441</v>
      </c>
      <c r="J15" s="45">
        <v>2272727</v>
      </c>
      <c r="K15" s="381" t="s">
        <v>146</v>
      </c>
      <c r="L15" s="46" t="s">
        <v>121</v>
      </c>
      <c r="M15" s="381">
        <v>9</v>
      </c>
      <c r="N15" s="381" t="s">
        <v>436</v>
      </c>
      <c r="O15" s="381" t="s">
        <v>136</v>
      </c>
      <c r="P15" s="45">
        <f>SUM(J15*M15)</f>
        <v>20454543</v>
      </c>
      <c r="Q15" s="47" t="s">
        <v>146</v>
      </c>
    </row>
    <row r="16" spans="1:17" s="29" customFormat="1" ht="17.100000000000001" customHeight="1">
      <c r="A16" s="38"/>
      <c r="B16" s="326"/>
      <c r="C16" s="423"/>
      <c r="D16" s="409"/>
      <c r="E16" s="419"/>
      <c r="F16" s="43"/>
      <c r="G16" s="462"/>
      <c r="H16" s="470"/>
      <c r="I16" s="49" t="s">
        <v>384</v>
      </c>
      <c r="J16" s="50">
        <v>750000</v>
      </c>
      <c r="K16" s="381" t="s">
        <v>146</v>
      </c>
      <c r="L16" s="46" t="s">
        <v>121</v>
      </c>
      <c r="M16" s="381">
        <v>2</v>
      </c>
      <c r="N16" s="381" t="s">
        <v>124</v>
      </c>
      <c r="O16" s="381" t="s">
        <v>136</v>
      </c>
      <c r="P16" s="45">
        <f t="shared" si="0"/>
        <v>1500000</v>
      </c>
      <c r="Q16" s="47" t="s">
        <v>146</v>
      </c>
    </row>
    <row r="17" spans="1:17" s="29" customFormat="1" ht="17.100000000000001" hidden="1" customHeight="1">
      <c r="A17" s="38"/>
      <c r="B17" s="326"/>
      <c r="C17" s="421" t="s">
        <v>286</v>
      </c>
      <c r="D17" s="461">
        <v>0</v>
      </c>
      <c r="E17" s="461">
        <f>(P17/1000)</f>
        <v>0</v>
      </c>
      <c r="F17" s="48"/>
      <c r="G17" s="402">
        <f>E17-D17</f>
        <v>0</v>
      </c>
      <c r="H17" s="414">
        <v>0</v>
      </c>
      <c r="I17" s="41"/>
      <c r="J17" s="42"/>
      <c r="K17" s="330"/>
      <c r="L17" s="51"/>
      <c r="M17" s="420" t="s">
        <v>159</v>
      </c>
      <c r="N17" s="420"/>
      <c r="O17" s="420"/>
      <c r="P17" s="52">
        <f>SUM(P18:P18)</f>
        <v>0</v>
      </c>
      <c r="Q17" s="37" t="s">
        <v>146</v>
      </c>
    </row>
    <row r="18" spans="1:17" s="29" customFormat="1" ht="17.100000000000001" hidden="1" customHeight="1">
      <c r="A18" s="38"/>
      <c r="B18" s="326"/>
      <c r="C18" s="422"/>
      <c r="D18" s="467"/>
      <c r="E18" s="462"/>
      <c r="F18" s="48"/>
      <c r="G18" s="403"/>
      <c r="H18" s="415"/>
      <c r="I18" s="49" t="s">
        <v>27</v>
      </c>
      <c r="J18" s="30">
        <v>0</v>
      </c>
      <c r="K18" s="381" t="s">
        <v>146</v>
      </c>
      <c r="L18" s="46" t="s">
        <v>121</v>
      </c>
      <c r="M18" s="381">
        <v>1</v>
      </c>
      <c r="N18" s="381" t="s">
        <v>124</v>
      </c>
      <c r="O18" s="53" t="s">
        <v>138</v>
      </c>
      <c r="P18" s="45">
        <f>J18*M18</f>
        <v>0</v>
      </c>
      <c r="Q18" s="47" t="s">
        <v>146</v>
      </c>
    </row>
    <row r="19" spans="1:17" s="29" customFormat="1" ht="17.100000000000001" customHeight="1">
      <c r="A19" s="38"/>
      <c r="B19" s="326"/>
      <c r="C19" s="443" t="s">
        <v>94</v>
      </c>
      <c r="D19" s="407">
        <v>53343</v>
      </c>
      <c r="E19" s="410">
        <f>+P19/1000</f>
        <v>60237.764999999999</v>
      </c>
      <c r="F19" s="404">
        <v>71084</v>
      </c>
      <c r="G19" s="402">
        <f>+E19-D19</f>
        <v>6894.7649999999994</v>
      </c>
      <c r="H19" s="414">
        <f>+G19/D19*100</f>
        <v>12.925341656824699</v>
      </c>
      <c r="I19" s="41"/>
      <c r="J19" s="42"/>
      <c r="K19" s="330"/>
      <c r="L19" s="330"/>
      <c r="M19" s="420" t="s">
        <v>159</v>
      </c>
      <c r="N19" s="420"/>
      <c r="O19" s="420"/>
      <c r="P19" s="42">
        <f>SUM(P20:P23)</f>
        <v>60237765</v>
      </c>
      <c r="Q19" s="37" t="s">
        <v>146</v>
      </c>
    </row>
    <row r="20" spans="1:17" s="29" customFormat="1" ht="17.100000000000001" customHeight="1">
      <c r="A20" s="38"/>
      <c r="B20" s="326"/>
      <c r="C20" s="444"/>
      <c r="D20" s="408"/>
      <c r="E20" s="411"/>
      <c r="F20" s="405"/>
      <c r="G20" s="403"/>
      <c r="H20" s="415"/>
      <c r="I20" s="49" t="s">
        <v>372</v>
      </c>
      <c r="J20" s="45">
        <v>23700000</v>
      </c>
      <c r="K20" s="381" t="s">
        <v>146</v>
      </c>
      <c r="L20" s="46" t="s">
        <v>121</v>
      </c>
      <c r="M20" s="381">
        <v>1</v>
      </c>
      <c r="N20" s="381" t="s">
        <v>124</v>
      </c>
      <c r="O20" s="53" t="s">
        <v>136</v>
      </c>
      <c r="P20" s="45">
        <f>J20*M20</f>
        <v>23700000</v>
      </c>
      <c r="Q20" s="47" t="s">
        <v>146</v>
      </c>
    </row>
    <row r="21" spans="1:17" s="29" customFormat="1" ht="17.100000000000001" customHeight="1">
      <c r="A21" s="38"/>
      <c r="B21" s="326"/>
      <c r="C21" s="444"/>
      <c r="D21" s="408"/>
      <c r="E21" s="411"/>
      <c r="F21" s="405"/>
      <c r="G21" s="403"/>
      <c r="H21" s="415"/>
      <c r="I21" s="49" t="s">
        <v>440</v>
      </c>
      <c r="J21" s="45">
        <v>28241765</v>
      </c>
      <c r="K21" s="381" t="s">
        <v>146</v>
      </c>
      <c r="L21" s="46" t="s">
        <v>121</v>
      </c>
      <c r="M21" s="381">
        <v>1</v>
      </c>
      <c r="N21" s="381" t="s">
        <v>124</v>
      </c>
      <c r="O21" s="53" t="s">
        <v>136</v>
      </c>
      <c r="P21" s="45">
        <f>J21*M21</f>
        <v>28241765</v>
      </c>
      <c r="Q21" s="47" t="s">
        <v>146</v>
      </c>
    </row>
    <row r="22" spans="1:17" s="29" customFormat="1" ht="17.100000000000001" customHeight="1">
      <c r="A22" s="38"/>
      <c r="B22" s="326"/>
      <c r="C22" s="444"/>
      <c r="D22" s="408"/>
      <c r="E22" s="411"/>
      <c r="F22" s="405"/>
      <c r="G22" s="403"/>
      <c r="H22" s="415"/>
      <c r="I22" s="44" t="s">
        <v>389</v>
      </c>
      <c r="J22" s="45">
        <v>2074000</v>
      </c>
      <c r="K22" s="381" t="s">
        <v>146</v>
      </c>
      <c r="L22" s="46" t="s">
        <v>121</v>
      </c>
      <c r="M22" s="381">
        <v>4</v>
      </c>
      <c r="N22" s="381" t="s">
        <v>124</v>
      </c>
      <c r="O22" s="53" t="s">
        <v>136</v>
      </c>
      <c r="P22" s="45">
        <f>J22*M22</f>
        <v>8296000</v>
      </c>
      <c r="Q22" s="47" t="s">
        <v>146</v>
      </c>
    </row>
    <row r="23" spans="1:17" s="29" customFormat="1" ht="17.100000000000001" customHeight="1">
      <c r="A23" s="38"/>
      <c r="B23" s="326"/>
      <c r="C23" s="444"/>
      <c r="D23" s="408"/>
      <c r="E23" s="411"/>
      <c r="F23" s="405"/>
      <c r="G23" s="403"/>
      <c r="H23" s="415"/>
      <c r="I23" s="49" t="s">
        <v>370</v>
      </c>
      <c r="J23" s="45">
        <v>0</v>
      </c>
      <c r="K23" s="381" t="s">
        <v>146</v>
      </c>
      <c r="L23" s="46" t="s">
        <v>121</v>
      </c>
      <c r="M23" s="381">
        <v>4</v>
      </c>
      <c r="N23" s="381" t="s">
        <v>124</v>
      </c>
      <c r="O23" s="53" t="s">
        <v>136</v>
      </c>
      <c r="P23" s="45">
        <f>J23*M23</f>
        <v>0</v>
      </c>
      <c r="Q23" s="47" t="s">
        <v>146</v>
      </c>
    </row>
    <row r="24" spans="1:17" s="29" customFormat="1" ht="17.100000000000001" customHeight="1">
      <c r="A24" s="38"/>
      <c r="B24" s="326"/>
      <c r="C24" s="421" t="s">
        <v>231</v>
      </c>
      <c r="D24" s="407">
        <v>255</v>
      </c>
      <c r="E24" s="461">
        <f>(P24/1000)</f>
        <v>255</v>
      </c>
      <c r="F24" s="48"/>
      <c r="G24" s="402">
        <f>E24-D24</f>
        <v>0</v>
      </c>
      <c r="H24" s="414">
        <v>0</v>
      </c>
      <c r="I24" s="41"/>
      <c r="J24" s="42"/>
      <c r="K24" s="330"/>
      <c r="L24" s="51"/>
      <c r="M24" s="420" t="s">
        <v>159</v>
      </c>
      <c r="N24" s="420"/>
      <c r="O24" s="420"/>
      <c r="P24" s="52">
        <f>SUM(P25:P25)</f>
        <v>255000</v>
      </c>
      <c r="Q24" s="37" t="s">
        <v>146</v>
      </c>
    </row>
    <row r="25" spans="1:17" s="29" customFormat="1" ht="17.100000000000001" customHeight="1">
      <c r="A25" s="38"/>
      <c r="B25" s="326"/>
      <c r="C25" s="422"/>
      <c r="D25" s="408"/>
      <c r="E25" s="462"/>
      <c r="F25" s="48"/>
      <c r="G25" s="403"/>
      <c r="H25" s="415"/>
      <c r="I25" s="49" t="s">
        <v>395</v>
      </c>
      <c r="J25" s="30">
        <v>255000</v>
      </c>
      <c r="K25" s="381" t="s">
        <v>146</v>
      </c>
      <c r="L25" s="46" t="s">
        <v>121</v>
      </c>
      <c r="M25" s="381">
        <v>1</v>
      </c>
      <c r="N25" s="381" t="s">
        <v>124</v>
      </c>
      <c r="O25" s="53" t="s">
        <v>138</v>
      </c>
      <c r="P25" s="45">
        <f>J25*M25</f>
        <v>255000</v>
      </c>
      <c r="Q25" s="47" t="s">
        <v>146</v>
      </c>
    </row>
    <row r="26" spans="1:17" s="29" customFormat="1" ht="18.95" customHeight="1">
      <c r="A26" s="54" t="s">
        <v>296</v>
      </c>
      <c r="B26" s="424" t="s">
        <v>165</v>
      </c>
      <c r="C26" s="425"/>
      <c r="D26" s="55">
        <f>SUM(D27)</f>
        <v>2800</v>
      </c>
      <c r="E26" s="56">
        <f>SUM(E27)</f>
        <v>1310</v>
      </c>
      <c r="F26" s="57">
        <f>SUM(F27)</f>
        <v>12766566</v>
      </c>
      <c r="G26" s="58">
        <f>+E26-D26</f>
        <v>-1490</v>
      </c>
      <c r="H26" s="59">
        <f>+G26/D26*100</f>
        <v>-53.214285714285715</v>
      </c>
      <c r="I26" s="60"/>
      <c r="J26" s="60"/>
      <c r="K26" s="347"/>
      <c r="L26" s="347"/>
      <c r="M26" s="60"/>
      <c r="N26" s="60"/>
      <c r="O26" s="60"/>
      <c r="P26" s="61">
        <f>P27</f>
        <v>1310000</v>
      </c>
      <c r="Q26" s="62" t="s">
        <v>146</v>
      </c>
    </row>
    <row r="27" spans="1:17" s="29" customFormat="1" ht="17.100000000000001" customHeight="1">
      <c r="A27" s="38"/>
      <c r="B27" s="39" t="s">
        <v>296</v>
      </c>
      <c r="C27" s="334" t="s">
        <v>166</v>
      </c>
      <c r="D27" s="328">
        <f>SUM(D28)</f>
        <v>2800</v>
      </c>
      <c r="E27" s="346">
        <f>SUM(E28)</f>
        <v>1310</v>
      </c>
      <c r="F27" s="63">
        <f>SUM(F28:F92)</f>
        <v>12766566</v>
      </c>
      <c r="G27" s="339">
        <f>+E27-D27</f>
        <v>-1490</v>
      </c>
      <c r="H27" s="348">
        <f>+G27/D27*100</f>
        <v>-53.214285714285715</v>
      </c>
      <c r="K27" s="381"/>
      <c r="L27" s="381"/>
      <c r="P27" s="64">
        <f>P28</f>
        <v>1310000</v>
      </c>
      <c r="Q27" s="47" t="s">
        <v>146</v>
      </c>
    </row>
    <row r="28" spans="1:17" s="29" customFormat="1" ht="17.100000000000001" customHeight="1">
      <c r="A28" s="38"/>
      <c r="B28" s="326"/>
      <c r="C28" s="430" t="s">
        <v>221</v>
      </c>
      <c r="D28" s="407">
        <v>2800</v>
      </c>
      <c r="E28" s="407">
        <f>P27/1000</f>
        <v>1310</v>
      </c>
      <c r="F28" s="404">
        <v>10450</v>
      </c>
      <c r="G28" s="402">
        <f>+E28-D28</f>
        <v>-1490</v>
      </c>
      <c r="H28" s="414">
        <f>+G28/D28*100</f>
        <v>-53.214285714285715</v>
      </c>
      <c r="I28" s="599"/>
      <c r="J28" s="600"/>
      <c r="K28" s="330"/>
      <c r="L28" s="330"/>
      <c r="M28" s="601" t="s">
        <v>159</v>
      </c>
      <c r="N28" s="601"/>
      <c r="O28" s="601"/>
      <c r="P28" s="36">
        <f>SUM(P29:P31)</f>
        <v>1310000</v>
      </c>
      <c r="Q28" s="37" t="s">
        <v>146</v>
      </c>
    </row>
    <row r="29" spans="1:17" s="29" customFormat="1" ht="17.100000000000001" customHeight="1">
      <c r="A29" s="19"/>
      <c r="B29" s="326"/>
      <c r="C29" s="431"/>
      <c r="D29" s="408"/>
      <c r="E29" s="408"/>
      <c r="F29" s="405"/>
      <c r="G29" s="403"/>
      <c r="H29" s="415"/>
      <c r="I29" s="44" t="s">
        <v>56</v>
      </c>
      <c r="J29" s="45">
        <v>30000</v>
      </c>
      <c r="K29" s="381" t="s">
        <v>146</v>
      </c>
      <c r="L29" s="46" t="s">
        <v>121</v>
      </c>
      <c r="M29" s="602">
        <v>37</v>
      </c>
      <c r="N29" s="381" t="s">
        <v>144</v>
      </c>
      <c r="O29" s="53" t="s">
        <v>136</v>
      </c>
      <c r="P29" s="45">
        <f>J29*M29</f>
        <v>1110000</v>
      </c>
      <c r="Q29" s="47" t="s">
        <v>146</v>
      </c>
    </row>
    <row r="30" spans="1:17" s="29" customFormat="1" ht="17.100000000000001" customHeight="1">
      <c r="A30" s="38"/>
      <c r="B30" s="326"/>
      <c r="C30" s="431"/>
      <c r="D30" s="408"/>
      <c r="E30" s="408"/>
      <c r="F30" s="405"/>
      <c r="G30" s="403"/>
      <c r="H30" s="415"/>
      <c r="I30" s="44" t="s">
        <v>319</v>
      </c>
      <c r="J30" s="45">
        <v>40000</v>
      </c>
      <c r="K30" s="381" t="s">
        <v>146</v>
      </c>
      <c r="L30" s="46" t="s">
        <v>121</v>
      </c>
      <c r="M30" s="602">
        <v>0</v>
      </c>
      <c r="N30" s="381" t="s">
        <v>144</v>
      </c>
      <c r="O30" s="53" t="s">
        <v>136</v>
      </c>
      <c r="P30" s="45">
        <f>J30*M30</f>
        <v>0</v>
      </c>
      <c r="Q30" s="47" t="s">
        <v>146</v>
      </c>
    </row>
    <row r="31" spans="1:17" s="29" customFormat="1" ht="17.100000000000001" customHeight="1">
      <c r="A31" s="65"/>
      <c r="B31" s="66"/>
      <c r="C31" s="432"/>
      <c r="D31" s="409"/>
      <c r="E31" s="409"/>
      <c r="F31" s="406"/>
      <c r="G31" s="413"/>
      <c r="H31" s="416"/>
      <c r="I31" s="67" t="s">
        <v>401</v>
      </c>
      <c r="J31" s="68">
        <v>10000</v>
      </c>
      <c r="K31" s="380" t="s">
        <v>146</v>
      </c>
      <c r="L31" s="69" t="s">
        <v>121</v>
      </c>
      <c r="M31" s="380">
        <v>20</v>
      </c>
      <c r="N31" s="380" t="s">
        <v>144</v>
      </c>
      <c r="O31" s="70" t="s">
        <v>136</v>
      </c>
      <c r="P31" s="68">
        <f>J31*M31</f>
        <v>200000</v>
      </c>
      <c r="Q31" s="71" t="s">
        <v>146</v>
      </c>
    </row>
    <row r="32" spans="1:17" s="29" customFormat="1" ht="18.95" hidden="1" customHeight="1">
      <c r="A32" s="54" t="s">
        <v>220</v>
      </c>
      <c r="B32" s="424" t="s">
        <v>165</v>
      </c>
      <c r="C32" s="425"/>
      <c r="D32" s="55">
        <f t="shared" ref="D32:F33" si="1">SUM(D33)</f>
        <v>0</v>
      </c>
      <c r="E32" s="72">
        <f t="shared" si="1"/>
        <v>0</v>
      </c>
      <c r="F32" s="73">
        <f t="shared" si="1"/>
        <v>56700</v>
      </c>
      <c r="G32" s="74">
        <f>+E32-D32</f>
        <v>0</v>
      </c>
      <c r="H32" s="59" t="e">
        <f>+G32/D32*100</f>
        <v>#DIV/0!</v>
      </c>
      <c r="I32" s="75"/>
      <c r="J32" s="75"/>
      <c r="K32" s="76"/>
      <c r="L32" s="76"/>
      <c r="M32" s="75"/>
      <c r="N32" s="75"/>
      <c r="O32" s="75"/>
      <c r="P32" s="61">
        <f>P33</f>
        <v>0</v>
      </c>
      <c r="Q32" s="62" t="s">
        <v>146</v>
      </c>
    </row>
    <row r="33" spans="1:18" s="29" customFormat="1" ht="17.100000000000001" hidden="1" customHeight="1">
      <c r="A33" s="38"/>
      <c r="B33" s="39" t="s">
        <v>220</v>
      </c>
      <c r="C33" s="345" t="s">
        <v>166</v>
      </c>
      <c r="D33" s="77">
        <f>D34</f>
        <v>0</v>
      </c>
      <c r="E33" s="78">
        <f t="shared" si="1"/>
        <v>0</v>
      </c>
      <c r="F33" s="79">
        <f t="shared" si="1"/>
        <v>56700</v>
      </c>
      <c r="G33" s="80">
        <f>+E33-D33</f>
        <v>0</v>
      </c>
      <c r="H33" s="348" t="e">
        <f>+G33/D33*100</f>
        <v>#DIV/0!</v>
      </c>
      <c r="I33" s="81"/>
      <c r="J33" s="60"/>
      <c r="K33" s="347"/>
      <c r="L33" s="347"/>
      <c r="M33" s="60"/>
      <c r="N33" s="60"/>
      <c r="O33" s="60"/>
      <c r="P33" s="82">
        <f>SUM(P34)</f>
        <v>0</v>
      </c>
      <c r="Q33" s="83" t="s">
        <v>146</v>
      </c>
    </row>
    <row r="34" spans="1:18" s="29" customFormat="1" ht="17.100000000000001" hidden="1" customHeight="1">
      <c r="A34" s="38"/>
      <c r="B34" s="334"/>
      <c r="C34" s="421" t="s">
        <v>235</v>
      </c>
      <c r="D34" s="407">
        <v>0</v>
      </c>
      <c r="E34" s="417">
        <f>+P34/1000</f>
        <v>0</v>
      </c>
      <c r="F34" s="452">
        <v>56700</v>
      </c>
      <c r="G34" s="463">
        <f>+E34-D34</f>
        <v>0</v>
      </c>
      <c r="H34" s="434" t="e">
        <f>+G34/D34*100</f>
        <v>#DIV/0!</v>
      </c>
      <c r="I34" s="84"/>
      <c r="K34" s="381"/>
      <c r="L34" s="381"/>
      <c r="M34" s="29" t="s">
        <v>159</v>
      </c>
      <c r="P34" s="64">
        <f>SUM(P35:P35)</f>
        <v>0</v>
      </c>
      <c r="Q34" s="47" t="s">
        <v>146</v>
      </c>
    </row>
    <row r="35" spans="1:18" s="29" customFormat="1" ht="17.100000000000001" hidden="1" customHeight="1">
      <c r="A35" s="38"/>
      <c r="B35" s="334"/>
      <c r="C35" s="422"/>
      <c r="D35" s="408"/>
      <c r="E35" s="418"/>
      <c r="F35" s="453"/>
      <c r="G35" s="463"/>
      <c r="H35" s="460"/>
      <c r="I35" s="49" t="s">
        <v>40</v>
      </c>
      <c r="J35" s="30">
        <v>0</v>
      </c>
      <c r="K35" s="381" t="s">
        <v>146</v>
      </c>
      <c r="L35" s="46" t="s">
        <v>121</v>
      </c>
      <c r="M35" s="381">
        <v>1</v>
      </c>
      <c r="N35" s="381" t="s">
        <v>124</v>
      </c>
      <c r="O35" s="381" t="s">
        <v>136</v>
      </c>
      <c r="P35" s="30">
        <f>+M35*J35</f>
        <v>0</v>
      </c>
      <c r="Q35" s="47" t="s">
        <v>146</v>
      </c>
    </row>
    <row r="36" spans="1:18" s="29" customFormat="1" ht="18.95" customHeight="1">
      <c r="A36" s="85" t="s">
        <v>126</v>
      </c>
      <c r="B36" s="425" t="s">
        <v>165</v>
      </c>
      <c r="C36" s="439"/>
      <c r="D36" s="55">
        <f>+D37+D54</f>
        <v>1670940</v>
      </c>
      <c r="E36" s="56">
        <f>+E37+E54</f>
        <v>1657784</v>
      </c>
      <c r="F36" s="57">
        <f>+F37+F54</f>
        <v>1336159</v>
      </c>
      <c r="G36" s="58">
        <f>E36-D36</f>
        <v>-13156</v>
      </c>
      <c r="H36" s="59">
        <f>+G36/D36*100</f>
        <v>-0.78734125701700841</v>
      </c>
      <c r="I36" s="60"/>
      <c r="J36" s="60"/>
      <c r="K36" s="60"/>
      <c r="L36" s="347"/>
      <c r="M36" s="60"/>
      <c r="N36" s="60"/>
      <c r="O36" s="60"/>
      <c r="P36" s="61">
        <f>SUM(P37,P54)</f>
        <v>1657784000</v>
      </c>
      <c r="Q36" s="62" t="s">
        <v>146</v>
      </c>
    </row>
    <row r="37" spans="1:18" s="29" customFormat="1" ht="17.100000000000001" customHeight="1">
      <c r="A37" s="38"/>
      <c r="B37" s="343" t="s">
        <v>132</v>
      </c>
      <c r="C37" s="334" t="s">
        <v>166</v>
      </c>
      <c r="D37" s="328">
        <f>SUM(D38:D50)</f>
        <v>1201260</v>
      </c>
      <c r="E37" s="332">
        <f>SUM(E38:E53)</f>
        <v>1219864</v>
      </c>
      <c r="F37" s="336">
        <f>SUM(F38:F50)</f>
        <v>711605</v>
      </c>
      <c r="G37" s="33">
        <f>E37-D37</f>
        <v>18604</v>
      </c>
      <c r="H37" s="348">
        <f>+G37/D37*100</f>
        <v>1.5487071907830112</v>
      </c>
      <c r="L37" s="381"/>
      <c r="P37" s="64">
        <f>SUM(P38,P40,P45,P49)</f>
        <v>1219864000</v>
      </c>
      <c r="Q37" s="47" t="s">
        <v>146</v>
      </c>
    </row>
    <row r="38" spans="1:18" s="29" customFormat="1" ht="17.100000000000001" customHeight="1">
      <c r="A38" s="38"/>
      <c r="B38" s="343" t="s">
        <v>126</v>
      </c>
      <c r="C38" s="443" t="s">
        <v>64</v>
      </c>
      <c r="D38" s="407">
        <v>89500</v>
      </c>
      <c r="E38" s="410">
        <f>P38/1000</f>
        <v>89500</v>
      </c>
      <c r="F38" s="404">
        <v>480000</v>
      </c>
      <c r="G38" s="402">
        <f>+E38-D38</f>
        <v>0</v>
      </c>
      <c r="H38" s="414">
        <f>+G38/D38*100</f>
        <v>0</v>
      </c>
      <c r="I38" s="41"/>
      <c r="J38" s="42"/>
      <c r="K38" s="86"/>
      <c r="L38" s="330"/>
      <c r="M38" s="330" t="s">
        <v>159</v>
      </c>
      <c r="N38" s="330"/>
      <c r="O38" s="330"/>
      <c r="P38" s="42">
        <f>SUM(P39:P39)</f>
        <v>89500000</v>
      </c>
      <c r="Q38" s="37" t="s">
        <v>146</v>
      </c>
    </row>
    <row r="39" spans="1:18" s="29" customFormat="1" ht="17.100000000000001" customHeight="1">
      <c r="A39" s="38"/>
      <c r="B39" s="326"/>
      <c r="C39" s="422"/>
      <c r="D39" s="408"/>
      <c r="E39" s="411"/>
      <c r="F39" s="406"/>
      <c r="G39" s="403"/>
      <c r="H39" s="415"/>
      <c r="I39" s="49" t="s">
        <v>198</v>
      </c>
      <c r="J39" s="304">
        <v>44750000</v>
      </c>
      <c r="K39" s="381" t="s">
        <v>146</v>
      </c>
      <c r="L39" s="46" t="s">
        <v>121</v>
      </c>
      <c r="M39" s="381">
        <v>2</v>
      </c>
      <c r="N39" s="381" t="s">
        <v>124</v>
      </c>
      <c r="O39" s="53" t="s">
        <v>136</v>
      </c>
      <c r="P39" s="45">
        <f>SUM(J39*M39)</f>
        <v>89500000</v>
      </c>
      <c r="Q39" s="47" t="s">
        <v>146</v>
      </c>
    </row>
    <row r="40" spans="1:18" s="29" customFormat="1" ht="17.100000000000001" customHeight="1">
      <c r="A40" s="38"/>
      <c r="B40" s="326"/>
      <c r="C40" s="443" t="s">
        <v>53</v>
      </c>
      <c r="D40" s="407">
        <v>52392</v>
      </c>
      <c r="E40" s="410">
        <f>P40/1000</f>
        <v>52392</v>
      </c>
      <c r="F40" s="404">
        <v>79390</v>
      </c>
      <c r="G40" s="402">
        <f>+E40-D40</f>
        <v>0</v>
      </c>
      <c r="H40" s="414">
        <f>+G40/D40*100</f>
        <v>0</v>
      </c>
      <c r="I40" s="87"/>
      <c r="J40" s="42"/>
      <c r="K40" s="330"/>
      <c r="L40" s="330"/>
      <c r="M40" s="420" t="s">
        <v>159</v>
      </c>
      <c r="N40" s="420"/>
      <c r="O40" s="420"/>
      <c r="P40" s="42">
        <f>SUM(P41:P44)</f>
        <v>52392000</v>
      </c>
      <c r="Q40" s="37" t="s">
        <v>146</v>
      </c>
    </row>
    <row r="41" spans="1:18" s="29" customFormat="1" ht="17.100000000000001" customHeight="1">
      <c r="A41" s="38"/>
      <c r="B41" s="326"/>
      <c r="C41" s="422"/>
      <c r="D41" s="408"/>
      <c r="E41" s="411"/>
      <c r="F41" s="405"/>
      <c r="G41" s="403"/>
      <c r="H41" s="415"/>
      <c r="I41" s="88" t="s">
        <v>3</v>
      </c>
      <c r="J41" s="89">
        <v>3000000</v>
      </c>
      <c r="K41" s="90" t="s">
        <v>146</v>
      </c>
      <c r="L41" s="91" t="s">
        <v>121</v>
      </c>
      <c r="M41" s="90">
        <v>12</v>
      </c>
      <c r="N41" s="90" t="s">
        <v>129</v>
      </c>
      <c r="O41" s="92" t="s">
        <v>136</v>
      </c>
      <c r="P41" s="89">
        <f>SUM(J41*M41)</f>
        <v>36000000</v>
      </c>
      <c r="Q41" s="93" t="s">
        <v>146</v>
      </c>
      <c r="R41" s="30"/>
    </row>
    <row r="42" spans="1:18" s="29" customFormat="1" ht="17.100000000000001" customHeight="1">
      <c r="A42" s="38"/>
      <c r="B42" s="326"/>
      <c r="C42" s="422"/>
      <c r="D42" s="408"/>
      <c r="E42" s="411"/>
      <c r="F42" s="336"/>
      <c r="G42" s="403"/>
      <c r="H42" s="415"/>
      <c r="I42" s="44" t="s">
        <v>365</v>
      </c>
      <c r="J42" s="45">
        <v>746000</v>
      </c>
      <c r="K42" s="381" t="s">
        <v>146</v>
      </c>
      <c r="L42" s="46" t="s">
        <v>121</v>
      </c>
      <c r="M42" s="381">
        <v>12</v>
      </c>
      <c r="N42" s="381" t="s">
        <v>129</v>
      </c>
      <c r="O42" s="53" t="s">
        <v>136</v>
      </c>
      <c r="P42" s="45">
        <f>SUM(J42*M42)</f>
        <v>8952000</v>
      </c>
      <c r="Q42" s="47" t="s">
        <v>146</v>
      </c>
      <c r="R42" s="30"/>
    </row>
    <row r="43" spans="1:18" s="29" customFormat="1" ht="17.100000000000001" customHeight="1">
      <c r="A43" s="38"/>
      <c r="B43" s="326"/>
      <c r="C43" s="422"/>
      <c r="D43" s="408"/>
      <c r="E43" s="411"/>
      <c r="F43" s="336"/>
      <c r="G43" s="403"/>
      <c r="H43" s="415"/>
      <c r="I43" s="49" t="s">
        <v>393</v>
      </c>
      <c r="J43" s="45">
        <v>600000</v>
      </c>
      <c r="K43" s="381" t="s">
        <v>146</v>
      </c>
      <c r="L43" s="46" t="s">
        <v>121</v>
      </c>
      <c r="M43" s="381">
        <v>12</v>
      </c>
      <c r="N43" s="381" t="s">
        <v>129</v>
      </c>
      <c r="O43" s="53" t="s">
        <v>136</v>
      </c>
      <c r="P43" s="45">
        <f>SUM(J43*M43)</f>
        <v>7200000</v>
      </c>
      <c r="Q43" s="47" t="s">
        <v>146</v>
      </c>
      <c r="R43" s="30"/>
    </row>
    <row r="44" spans="1:18" s="29" customFormat="1" ht="17.100000000000001" customHeight="1">
      <c r="A44" s="38"/>
      <c r="B44" s="326"/>
      <c r="C44" s="423"/>
      <c r="D44" s="409"/>
      <c r="E44" s="412"/>
      <c r="F44" s="337"/>
      <c r="G44" s="413"/>
      <c r="H44" s="416"/>
      <c r="I44" s="67" t="s">
        <v>367</v>
      </c>
      <c r="J44" s="68">
        <v>20000</v>
      </c>
      <c r="K44" s="380" t="s">
        <v>146</v>
      </c>
      <c r="L44" s="69" t="s">
        <v>121</v>
      </c>
      <c r="M44" s="380">
        <v>12</v>
      </c>
      <c r="N44" s="380" t="s">
        <v>124</v>
      </c>
      <c r="O44" s="70" t="s">
        <v>136</v>
      </c>
      <c r="P44" s="68">
        <f>SUM(J44*M44)</f>
        <v>240000</v>
      </c>
      <c r="Q44" s="71" t="s">
        <v>146</v>
      </c>
      <c r="R44" s="30"/>
    </row>
    <row r="45" spans="1:18" s="29" customFormat="1" ht="17.100000000000001" customHeight="1">
      <c r="A45" s="38"/>
      <c r="B45" s="326"/>
      <c r="C45" s="430" t="s">
        <v>184</v>
      </c>
      <c r="D45" s="407">
        <v>176000</v>
      </c>
      <c r="E45" s="407">
        <f>+P45/1000</f>
        <v>226000</v>
      </c>
      <c r="F45" s="404">
        <v>90435</v>
      </c>
      <c r="G45" s="402">
        <f>+E45-D45</f>
        <v>50000</v>
      </c>
      <c r="H45" s="414">
        <f>+G45/D45*100</f>
        <v>28.40909090909091</v>
      </c>
      <c r="I45" s="41"/>
      <c r="J45" s="52"/>
      <c r="K45" s="330"/>
      <c r="L45" s="330"/>
      <c r="M45" s="420" t="s">
        <v>159</v>
      </c>
      <c r="N45" s="420"/>
      <c r="O45" s="420"/>
      <c r="P45" s="52">
        <f>SUM(P46:P48)</f>
        <v>226000000</v>
      </c>
      <c r="Q45" s="37" t="s">
        <v>146</v>
      </c>
    </row>
    <row r="46" spans="1:18" s="29" customFormat="1" ht="17.100000000000001" customHeight="1">
      <c r="A46" s="38"/>
      <c r="B46" s="326"/>
      <c r="C46" s="431"/>
      <c r="D46" s="408"/>
      <c r="E46" s="408"/>
      <c r="F46" s="405"/>
      <c r="G46" s="403"/>
      <c r="H46" s="415"/>
      <c r="I46" s="49" t="s">
        <v>98</v>
      </c>
      <c r="J46" s="45">
        <v>5000000</v>
      </c>
      <c r="K46" s="381" t="s">
        <v>146</v>
      </c>
      <c r="L46" s="46" t="s">
        <v>121</v>
      </c>
      <c r="M46" s="381">
        <v>12</v>
      </c>
      <c r="N46" s="381" t="s">
        <v>129</v>
      </c>
      <c r="O46" s="53" t="s">
        <v>136</v>
      </c>
      <c r="P46" s="45">
        <f>SUM(J46*M46)</f>
        <v>60000000</v>
      </c>
      <c r="Q46" s="47" t="s">
        <v>146</v>
      </c>
      <c r="R46" s="45"/>
    </row>
    <row r="47" spans="1:18" s="29" customFormat="1" ht="17.100000000000001" customHeight="1">
      <c r="A47" s="38"/>
      <c r="B47" s="326"/>
      <c r="C47" s="431"/>
      <c r="D47" s="408"/>
      <c r="E47" s="408"/>
      <c r="F47" s="336"/>
      <c r="G47" s="403"/>
      <c r="H47" s="415"/>
      <c r="I47" s="49" t="s">
        <v>396</v>
      </c>
      <c r="J47" s="45">
        <v>10000000</v>
      </c>
      <c r="K47" s="381" t="s">
        <v>146</v>
      </c>
      <c r="L47" s="46" t="s">
        <v>121</v>
      </c>
      <c r="M47" s="381">
        <v>1</v>
      </c>
      <c r="N47" s="381" t="s">
        <v>124</v>
      </c>
      <c r="O47" s="53" t="s">
        <v>138</v>
      </c>
      <c r="P47" s="45">
        <f>SUM(J47*M47)</f>
        <v>10000000</v>
      </c>
      <c r="Q47" s="47" t="s">
        <v>146</v>
      </c>
      <c r="R47" s="350"/>
    </row>
    <row r="48" spans="1:18" s="29" customFormat="1" ht="17.100000000000001" customHeight="1">
      <c r="A48" s="38"/>
      <c r="B48" s="326"/>
      <c r="C48" s="432"/>
      <c r="D48" s="409"/>
      <c r="E48" s="409"/>
      <c r="F48" s="336"/>
      <c r="G48" s="413"/>
      <c r="H48" s="416"/>
      <c r="I48" s="49" t="s">
        <v>442</v>
      </c>
      <c r="J48" s="45">
        <v>12000000</v>
      </c>
      <c r="K48" s="381" t="s">
        <v>146</v>
      </c>
      <c r="L48" s="46" t="s">
        <v>121</v>
      </c>
      <c r="M48" s="381">
        <v>13</v>
      </c>
      <c r="N48" s="381" t="s">
        <v>124</v>
      </c>
      <c r="O48" s="53" t="s">
        <v>138</v>
      </c>
      <c r="P48" s="45">
        <f>SUM(J48*M48)</f>
        <v>156000000</v>
      </c>
      <c r="Q48" s="47" t="s">
        <v>146</v>
      </c>
      <c r="R48" s="351"/>
    </row>
    <row r="49" spans="1:18" s="29" customFormat="1" ht="17.100000000000001" customHeight="1">
      <c r="A49" s="19"/>
      <c r="B49" s="343"/>
      <c r="C49" s="421" t="s">
        <v>306</v>
      </c>
      <c r="D49" s="407">
        <v>883368</v>
      </c>
      <c r="E49" s="417">
        <f>(P49/1000)</f>
        <v>851972</v>
      </c>
      <c r="F49" s="335">
        <v>61780</v>
      </c>
      <c r="G49" s="402">
        <f>+E49-D49</f>
        <v>-31396</v>
      </c>
      <c r="H49" s="414">
        <f>G49/D49*100</f>
        <v>-3.5541246683149037</v>
      </c>
      <c r="I49" s="87"/>
      <c r="J49" s="42"/>
      <c r="K49" s="330"/>
      <c r="L49" s="330"/>
      <c r="M49" s="420" t="s">
        <v>159</v>
      </c>
      <c r="N49" s="420"/>
      <c r="O49" s="420"/>
      <c r="P49" s="42">
        <f>SUM(P50:P53)</f>
        <v>851972000</v>
      </c>
      <c r="Q49" s="37" t="s">
        <v>146</v>
      </c>
    </row>
    <row r="50" spans="1:18" s="29" customFormat="1" ht="17.100000000000001" customHeight="1">
      <c r="A50" s="19"/>
      <c r="B50" s="343"/>
      <c r="C50" s="422"/>
      <c r="D50" s="408"/>
      <c r="E50" s="418"/>
      <c r="F50" s="336"/>
      <c r="G50" s="403"/>
      <c r="H50" s="415"/>
      <c r="I50" s="49" t="s">
        <v>49</v>
      </c>
      <c r="J50" s="45">
        <v>100000000</v>
      </c>
      <c r="K50" s="381" t="s">
        <v>146</v>
      </c>
      <c r="L50" s="46" t="s">
        <v>121</v>
      </c>
      <c r="M50" s="381">
        <v>1</v>
      </c>
      <c r="N50" s="381" t="s">
        <v>124</v>
      </c>
      <c r="O50" s="53" t="s">
        <v>136</v>
      </c>
      <c r="P50" s="45">
        <f>SUM(J50*M50)</f>
        <v>100000000</v>
      </c>
      <c r="Q50" s="47" t="s">
        <v>146</v>
      </c>
    </row>
    <row r="51" spans="1:18" s="29" customFormat="1" ht="17.100000000000001" customHeight="1">
      <c r="A51" s="19"/>
      <c r="B51" s="343"/>
      <c r="C51" s="422"/>
      <c r="D51" s="408"/>
      <c r="E51" s="418"/>
      <c r="F51" s="336"/>
      <c r="G51" s="403"/>
      <c r="H51" s="415"/>
      <c r="I51" s="49" t="s">
        <v>114</v>
      </c>
      <c r="J51" s="45">
        <v>60000000</v>
      </c>
      <c r="K51" s="381" t="s">
        <v>146</v>
      </c>
      <c r="L51" s="46" t="s">
        <v>121</v>
      </c>
      <c r="M51" s="381">
        <v>12</v>
      </c>
      <c r="N51" s="381" t="s">
        <v>124</v>
      </c>
      <c r="O51" s="53" t="s">
        <v>136</v>
      </c>
      <c r="P51" s="45">
        <f>SUM(J51*M51)</f>
        <v>720000000</v>
      </c>
      <c r="Q51" s="47" t="s">
        <v>146</v>
      </c>
    </row>
    <row r="52" spans="1:18" s="29" customFormat="1" ht="17.100000000000001" customHeight="1">
      <c r="A52" s="38"/>
      <c r="B52" s="326"/>
      <c r="C52" s="422"/>
      <c r="D52" s="408"/>
      <c r="E52" s="418"/>
      <c r="F52" s="336"/>
      <c r="G52" s="403"/>
      <c r="H52" s="415"/>
      <c r="I52" s="44" t="s">
        <v>18</v>
      </c>
      <c r="J52" s="45">
        <v>0</v>
      </c>
      <c r="K52" s="381" t="s">
        <v>146</v>
      </c>
      <c r="L52" s="46" t="s">
        <v>121</v>
      </c>
      <c r="M52" s="381">
        <v>2</v>
      </c>
      <c r="N52" s="381" t="s">
        <v>124</v>
      </c>
      <c r="O52" s="53" t="s">
        <v>136</v>
      </c>
      <c r="P52" s="45">
        <f>SUM(J52*M52)</f>
        <v>0</v>
      </c>
      <c r="Q52" s="47" t="s">
        <v>146</v>
      </c>
      <c r="R52" s="29" t="s">
        <v>116</v>
      </c>
    </row>
    <row r="53" spans="1:18" s="29" customFormat="1" ht="17.100000000000001" customHeight="1">
      <c r="A53" s="38"/>
      <c r="B53" s="95"/>
      <c r="C53" s="426"/>
      <c r="D53" s="427"/>
      <c r="E53" s="449"/>
      <c r="F53" s="349"/>
      <c r="G53" s="441"/>
      <c r="H53" s="433"/>
      <c r="I53" s="603" t="s">
        <v>398</v>
      </c>
      <c r="J53" s="96">
        <v>7993000</v>
      </c>
      <c r="K53" s="97" t="s">
        <v>146</v>
      </c>
      <c r="L53" s="98" t="s">
        <v>121</v>
      </c>
      <c r="M53" s="97">
        <v>4</v>
      </c>
      <c r="N53" s="97" t="s">
        <v>124</v>
      </c>
      <c r="O53" s="99" t="s">
        <v>136</v>
      </c>
      <c r="P53" s="96">
        <f>SUM(J53*M53)</f>
        <v>31972000</v>
      </c>
      <c r="Q53" s="100" t="s">
        <v>146</v>
      </c>
    </row>
    <row r="54" spans="1:18" ht="17.100000000000001" customHeight="1">
      <c r="A54" s="19"/>
      <c r="B54" s="343" t="s">
        <v>151</v>
      </c>
      <c r="C54" s="334" t="s">
        <v>166</v>
      </c>
      <c r="D54" s="328">
        <f>SUM(D55:D64)</f>
        <v>469680</v>
      </c>
      <c r="E54" s="332">
        <f>SUM(E55:E64)</f>
        <v>437920</v>
      </c>
      <c r="F54" s="336">
        <f>SUM(F55:F64)</f>
        <v>624554</v>
      </c>
      <c r="G54" s="339">
        <f>+E54-D54</f>
        <v>-31760</v>
      </c>
      <c r="H54" s="340">
        <f>+G54/D54*100</f>
        <v>-6.7620507579628688</v>
      </c>
      <c r="I54" s="29"/>
      <c r="J54" s="29"/>
      <c r="K54" s="381"/>
      <c r="L54" s="381"/>
      <c r="M54" s="29"/>
      <c r="N54" s="29"/>
      <c r="O54" s="29"/>
      <c r="P54" s="64">
        <f>SUM(P55,P57)</f>
        <v>437920000</v>
      </c>
      <c r="Q54" s="47" t="s">
        <v>146</v>
      </c>
    </row>
    <row r="55" spans="1:18" ht="17.100000000000001" customHeight="1">
      <c r="A55" s="38"/>
      <c r="B55" s="343" t="s">
        <v>126</v>
      </c>
      <c r="C55" s="429" t="s">
        <v>247</v>
      </c>
      <c r="D55" s="407">
        <v>36000</v>
      </c>
      <c r="E55" s="410">
        <f>+P55/1000</f>
        <v>43000</v>
      </c>
      <c r="F55" s="404">
        <v>72575</v>
      </c>
      <c r="G55" s="402">
        <f>+E55-D55</f>
        <v>7000</v>
      </c>
      <c r="H55" s="434">
        <f>G55/D55*100</f>
        <v>19.444444444444446</v>
      </c>
      <c r="I55" s="41"/>
      <c r="J55" s="52"/>
      <c r="K55" s="330"/>
      <c r="L55" s="330"/>
      <c r="M55" s="420" t="s">
        <v>159</v>
      </c>
      <c r="N55" s="420"/>
      <c r="O55" s="420"/>
      <c r="P55" s="52">
        <f>SUM(P56:P56)</f>
        <v>43000000</v>
      </c>
      <c r="Q55" s="37" t="s">
        <v>146</v>
      </c>
    </row>
    <row r="56" spans="1:18" ht="17.100000000000001" customHeight="1">
      <c r="A56" s="38"/>
      <c r="B56" s="326"/>
      <c r="C56" s="429"/>
      <c r="D56" s="409"/>
      <c r="E56" s="412"/>
      <c r="F56" s="406"/>
      <c r="G56" s="413"/>
      <c r="H56" s="435"/>
      <c r="I56" s="101" t="s">
        <v>12</v>
      </c>
      <c r="J56" s="68">
        <v>100000</v>
      </c>
      <c r="K56" s="380" t="s">
        <v>146</v>
      </c>
      <c r="L56" s="69" t="s">
        <v>121</v>
      </c>
      <c r="M56" s="604">
        <v>430</v>
      </c>
      <c r="N56" s="380" t="s">
        <v>124</v>
      </c>
      <c r="O56" s="70" t="s">
        <v>136</v>
      </c>
      <c r="P56" s="68">
        <f>J56*M56</f>
        <v>43000000</v>
      </c>
      <c r="Q56" s="71" t="s">
        <v>146</v>
      </c>
    </row>
    <row r="57" spans="1:18" ht="17.100000000000001" customHeight="1">
      <c r="A57" s="19"/>
      <c r="B57" s="343"/>
      <c r="C57" s="428" t="s">
        <v>284</v>
      </c>
      <c r="D57" s="407">
        <v>433680</v>
      </c>
      <c r="E57" s="417">
        <f>P57/1000</f>
        <v>394920</v>
      </c>
      <c r="F57" s="404">
        <v>551979</v>
      </c>
      <c r="G57" s="402">
        <f>+E57-D57</f>
        <v>-38760</v>
      </c>
      <c r="H57" s="414">
        <f>+G57/D57*100</f>
        <v>-8.9374654122855564</v>
      </c>
      <c r="I57" s="41"/>
      <c r="J57" s="52"/>
      <c r="K57" s="330"/>
      <c r="L57" s="330"/>
      <c r="M57" s="330" t="s">
        <v>159</v>
      </c>
      <c r="N57" s="330"/>
      <c r="O57" s="330"/>
      <c r="P57" s="52">
        <f>SUM(P58:P64)</f>
        <v>394920000</v>
      </c>
      <c r="Q57" s="37" t="s">
        <v>146</v>
      </c>
    </row>
    <row r="58" spans="1:18" ht="17.100000000000001" customHeight="1">
      <c r="A58" s="19"/>
      <c r="B58" s="343"/>
      <c r="C58" s="429"/>
      <c r="D58" s="408"/>
      <c r="E58" s="418"/>
      <c r="F58" s="405"/>
      <c r="G58" s="403">
        <f>+D58-E58</f>
        <v>0</v>
      </c>
      <c r="H58" s="415" t="e">
        <f>+G58/D58*100</f>
        <v>#DIV/0!</v>
      </c>
      <c r="I58" s="49" t="s">
        <v>260</v>
      </c>
      <c r="J58" s="45">
        <v>7000000</v>
      </c>
      <c r="K58" s="381" t="s">
        <v>146</v>
      </c>
      <c r="L58" s="46" t="s">
        <v>121</v>
      </c>
      <c r="M58" s="381">
        <v>12</v>
      </c>
      <c r="N58" s="381" t="s">
        <v>129</v>
      </c>
      <c r="O58" s="53" t="s">
        <v>136</v>
      </c>
      <c r="P58" s="45">
        <f>J58*M58</f>
        <v>84000000</v>
      </c>
      <c r="Q58" s="47" t="s">
        <v>146</v>
      </c>
    </row>
    <row r="59" spans="1:18" ht="17.100000000000001" customHeight="1">
      <c r="A59" s="38"/>
      <c r="B59" s="326"/>
      <c r="C59" s="421"/>
      <c r="D59" s="408"/>
      <c r="E59" s="418"/>
      <c r="F59" s="405"/>
      <c r="G59" s="403"/>
      <c r="H59" s="415" t="e">
        <f>+G59/D59*100</f>
        <v>#DIV/0!</v>
      </c>
      <c r="I59" s="49" t="s">
        <v>163</v>
      </c>
      <c r="J59" s="45">
        <v>20760000</v>
      </c>
      <c r="K59" s="381" t="s">
        <v>146</v>
      </c>
      <c r="L59" s="46" t="s">
        <v>121</v>
      </c>
      <c r="M59" s="381">
        <v>12</v>
      </c>
      <c r="N59" s="381" t="s">
        <v>129</v>
      </c>
      <c r="O59" s="53" t="s">
        <v>136</v>
      </c>
      <c r="P59" s="45">
        <f>SUM(J59*M59)</f>
        <v>249120000</v>
      </c>
      <c r="Q59" s="47" t="s">
        <v>146</v>
      </c>
    </row>
    <row r="60" spans="1:18" ht="17.100000000000001" customHeight="1">
      <c r="A60" s="38"/>
      <c r="B60" s="326"/>
      <c r="C60" s="421"/>
      <c r="D60" s="408"/>
      <c r="E60" s="418"/>
      <c r="F60" s="405"/>
      <c r="G60" s="403"/>
      <c r="H60" s="415"/>
      <c r="I60" s="29" t="s">
        <v>44</v>
      </c>
      <c r="J60" s="45">
        <v>1500000</v>
      </c>
      <c r="K60" s="381" t="s">
        <v>146</v>
      </c>
      <c r="L60" s="46" t="s">
        <v>121</v>
      </c>
      <c r="M60" s="381">
        <v>12</v>
      </c>
      <c r="N60" s="381" t="s">
        <v>124</v>
      </c>
      <c r="O60" s="53" t="s">
        <v>136</v>
      </c>
      <c r="P60" s="45">
        <f>SUM(J60*M60)</f>
        <v>18000000</v>
      </c>
      <c r="Q60" s="47" t="s">
        <v>146</v>
      </c>
    </row>
    <row r="61" spans="1:18" ht="17.100000000000001" customHeight="1">
      <c r="A61" s="38"/>
      <c r="B61" s="326"/>
      <c r="C61" s="421"/>
      <c r="D61" s="408"/>
      <c r="E61" s="418"/>
      <c r="F61" s="405"/>
      <c r="G61" s="403"/>
      <c r="H61" s="415"/>
      <c r="I61" s="29" t="s">
        <v>62</v>
      </c>
      <c r="J61" s="45">
        <v>2400000</v>
      </c>
      <c r="K61" s="381" t="s">
        <v>146</v>
      </c>
      <c r="L61" s="46" t="s">
        <v>121</v>
      </c>
      <c r="M61" s="381">
        <v>12</v>
      </c>
      <c r="N61" s="381" t="s">
        <v>124</v>
      </c>
      <c r="O61" s="53" t="s">
        <v>136</v>
      </c>
      <c r="P61" s="45">
        <f>SUM(J61*M61)</f>
        <v>28800000</v>
      </c>
      <c r="Q61" s="47" t="s">
        <v>146</v>
      </c>
    </row>
    <row r="62" spans="1:18" ht="17.100000000000001" customHeight="1">
      <c r="A62" s="38"/>
      <c r="B62" s="326"/>
      <c r="C62" s="421"/>
      <c r="D62" s="408"/>
      <c r="E62" s="418"/>
      <c r="F62" s="405"/>
      <c r="G62" s="403"/>
      <c r="H62" s="415"/>
      <c r="I62" s="49" t="s">
        <v>223</v>
      </c>
      <c r="J62" s="45">
        <v>1200000</v>
      </c>
      <c r="K62" s="381" t="s">
        <v>146</v>
      </c>
      <c r="L62" s="46" t="s">
        <v>121</v>
      </c>
      <c r="M62" s="381">
        <v>12</v>
      </c>
      <c r="N62" s="381" t="s">
        <v>124</v>
      </c>
      <c r="O62" s="53" t="s">
        <v>136</v>
      </c>
      <c r="P62" s="45">
        <f>SUM(J62*M62)</f>
        <v>14400000</v>
      </c>
      <c r="Q62" s="28" t="s">
        <v>146</v>
      </c>
    </row>
    <row r="63" spans="1:18" ht="17.100000000000001" customHeight="1">
      <c r="A63" s="38"/>
      <c r="B63" s="326"/>
      <c r="C63" s="421"/>
      <c r="D63" s="408"/>
      <c r="E63" s="418"/>
      <c r="F63" s="405"/>
      <c r="G63" s="403"/>
      <c r="H63" s="415" t="e">
        <f>+G63/D63*100</f>
        <v>#DIV/0!</v>
      </c>
      <c r="I63" s="49" t="s">
        <v>311</v>
      </c>
      <c r="J63" s="45">
        <v>0</v>
      </c>
      <c r="K63" s="381" t="s">
        <v>146</v>
      </c>
      <c r="L63" s="46" t="s">
        <v>121</v>
      </c>
      <c r="M63" s="381">
        <v>12</v>
      </c>
      <c r="N63" s="381" t="s">
        <v>124</v>
      </c>
      <c r="O63" s="53" t="s">
        <v>136</v>
      </c>
      <c r="P63" s="45">
        <f>SUM(J63*M63)</f>
        <v>0</v>
      </c>
      <c r="Q63" s="28" t="s">
        <v>146</v>
      </c>
    </row>
    <row r="64" spans="1:18" ht="17.100000000000001" customHeight="1">
      <c r="A64" s="103"/>
      <c r="B64" s="338"/>
      <c r="C64" s="429"/>
      <c r="D64" s="409"/>
      <c r="E64" s="419"/>
      <c r="F64" s="406"/>
      <c r="G64" s="413"/>
      <c r="H64" s="416"/>
      <c r="I64" s="67" t="s">
        <v>461</v>
      </c>
      <c r="J64" s="68">
        <v>50000</v>
      </c>
      <c r="K64" s="380" t="s">
        <v>146</v>
      </c>
      <c r="L64" s="69" t="s">
        <v>121</v>
      </c>
      <c r="M64" s="380">
        <v>12</v>
      </c>
      <c r="N64" s="380" t="s">
        <v>124</v>
      </c>
      <c r="O64" s="70" t="s">
        <v>136</v>
      </c>
      <c r="P64" s="68">
        <f>J64*M64</f>
        <v>600000</v>
      </c>
      <c r="Q64" s="71" t="s">
        <v>146</v>
      </c>
    </row>
    <row r="65" spans="1:17" ht="18.95" customHeight="1">
      <c r="A65" s="85" t="s">
        <v>133</v>
      </c>
      <c r="B65" s="424" t="s">
        <v>165</v>
      </c>
      <c r="C65" s="425"/>
      <c r="D65" s="55">
        <f>SUM(D66)</f>
        <v>2164930</v>
      </c>
      <c r="E65" s="56">
        <f>SUM(E66)</f>
        <v>2678816.2898400002</v>
      </c>
      <c r="F65" s="104">
        <f>SUM(F66)</f>
        <v>875385</v>
      </c>
      <c r="G65" s="58">
        <f>+E65-D65</f>
        <v>513886.28984000022</v>
      </c>
      <c r="H65" s="59">
        <f>+G65/D65*100</f>
        <v>23.73685476389538</v>
      </c>
      <c r="I65" s="60"/>
      <c r="J65" s="60"/>
      <c r="K65" s="347"/>
      <c r="L65" s="347"/>
      <c r="M65" s="60"/>
      <c r="N65" s="60"/>
      <c r="O65" s="60"/>
      <c r="P65" s="61">
        <f>P66</f>
        <v>2678816289.8400002</v>
      </c>
      <c r="Q65" s="62" t="s">
        <v>146</v>
      </c>
    </row>
    <row r="66" spans="1:17" ht="17.100000000000001" customHeight="1">
      <c r="A66" s="38"/>
      <c r="B66" s="343" t="s">
        <v>133</v>
      </c>
      <c r="C66" s="345" t="s">
        <v>166</v>
      </c>
      <c r="D66" s="77">
        <f>SUM(D67:D79)</f>
        <v>2164930</v>
      </c>
      <c r="E66" s="78">
        <f>P66/1000</f>
        <v>2678816.2898400002</v>
      </c>
      <c r="F66" s="105">
        <f>SUM(F67:F69)</f>
        <v>875385</v>
      </c>
      <c r="G66" s="33">
        <f>+E66-D66</f>
        <v>513886.28984000022</v>
      </c>
      <c r="H66" s="348">
        <f>+G66/D66*100</f>
        <v>23.73685476389538</v>
      </c>
      <c r="I66" s="29"/>
      <c r="J66" s="29"/>
      <c r="K66" s="381"/>
      <c r="L66" s="381"/>
      <c r="M66" s="29"/>
      <c r="N66" s="29"/>
      <c r="O66" s="29"/>
      <c r="P66" s="64">
        <f>SUM(P67,P70,P73,P76)</f>
        <v>2678816289.8400002</v>
      </c>
      <c r="Q66" s="47" t="s">
        <v>146</v>
      </c>
    </row>
    <row r="67" spans="1:17" ht="17.100000000000001" customHeight="1">
      <c r="A67" s="38"/>
      <c r="B67" s="326"/>
      <c r="C67" s="421" t="s">
        <v>361</v>
      </c>
      <c r="D67" s="407">
        <v>1061660</v>
      </c>
      <c r="E67" s="410">
        <f>+P67/1000</f>
        <v>1061659.9999199999</v>
      </c>
      <c r="F67" s="404">
        <v>875385</v>
      </c>
      <c r="G67" s="402">
        <f>+E67-D67</f>
        <v>-8.0000143498182297E-5</v>
      </c>
      <c r="H67" s="414">
        <f>+G67/D67*100</f>
        <v>-7.535382655292872E-9</v>
      </c>
      <c r="I67" s="41"/>
      <c r="J67" s="42"/>
      <c r="K67" s="330"/>
      <c r="L67" s="330"/>
      <c r="M67" s="420" t="s">
        <v>159</v>
      </c>
      <c r="N67" s="420"/>
      <c r="O67" s="420"/>
      <c r="P67" s="42">
        <f>SUM(P68:P69)</f>
        <v>1061659999.92</v>
      </c>
      <c r="Q67" s="37" t="s">
        <v>146</v>
      </c>
    </row>
    <row r="68" spans="1:17" ht="17.100000000000001" customHeight="1">
      <c r="A68" s="38"/>
      <c r="B68" s="326"/>
      <c r="C68" s="422"/>
      <c r="D68" s="408"/>
      <c r="E68" s="411"/>
      <c r="F68" s="405"/>
      <c r="G68" s="403">
        <f>+E68-D68</f>
        <v>0</v>
      </c>
      <c r="H68" s="415"/>
      <c r="I68" s="49" t="s">
        <v>14</v>
      </c>
      <c r="J68" s="30">
        <v>11805000</v>
      </c>
      <c r="K68" s="381" t="s">
        <v>146</v>
      </c>
      <c r="L68" s="46" t="s">
        <v>121</v>
      </c>
      <c r="M68" s="381">
        <v>12</v>
      </c>
      <c r="N68" s="381" t="s">
        <v>129</v>
      </c>
      <c r="O68" s="53" t="s">
        <v>136</v>
      </c>
      <c r="P68" s="30">
        <f>SUM(J68*M68)</f>
        <v>141660000</v>
      </c>
      <c r="Q68" s="47" t="s">
        <v>146</v>
      </c>
    </row>
    <row r="69" spans="1:17" ht="17.100000000000001" customHeight="1">
      <c r="A69" s="38"/>
      <c r="B69" s="326"/>
      <c r="C69" s="423"/>
      <c r="D69" s="409"/>
      <c r="E69" s="412"/>
      <c r="F69" s="406"/>
      <c r="G69" s="413">
        <f>+E69-D69</f>
        <v>0</v>
      </c>
      <c r="H69" s="416"/>
      <c r="I69" s="101" t="s">
        <v>10</v>
      </c>
      <c r="J69" s="50">
        <v>76666666.659999996</v>
      </c>
      <c r="K69" s="380" t="s">
        <v>146</v>
      </c>
      <c r="L69" s="69" t="s">
        <v>121</v>
      </c>
      <c r="M69" s="380">
        <v>12</v>
      </c>
      <c r="N69" s="380" t="s">
        <v>124</v>
      </c>
      <c r="O69" s="70" t="s">
        <v>136</v>
      </c>
      <c r="P69" s="50">
        <f>SUM(J69*M69)</f>
        <v>919999999.91999996</v>
      </c>
      <c r="Q69" s="71" t="s">
        <v>146</v>
      </c>
    </row>
    <row r="70" spans="1:17" ht="17.100000000000001" customHeight="1">
      <c r="A70" s="38"/>
      <c r="B70" s="326"/>
      <c r="C70" s="421" t="s">
        <v>356</v>
      </c>
      <c r="D70" s="407">
        <v>106630</v>
      </c>
      <c r="E70" s="410">
        <f>+P70/1000</f>
        <v>555606.29</v>
      </c>
      <c r="F70" s="404">
        <v>593059</v>
      </c>
      <c r="G70" s="402">
        <f>E70-D70</f>
        <v>448976.29000000004</v>
      </c>
      <c r="H70" s="414">
        <f>+G70/D70*100</f>
        <v>421.06001125386854</v>
      </c>
      <c r="I70" s="41"/>
      <c r="J70" s="52"/>
      <c r="K70" s="330"/>
      <c r="L70" s="330"/>
      <c r="M70" s="420" t="s">
        <v>159</v>
      </c>
      <c r="N70" s="420"/>
      <c r="O70" s="420"/>
      <c r="P70" s="52">
        <f>SUM(P71:P72)</f>
        <v>555606290</v>
      </c>
      <c r="Q70" s="37" t="s">
        <v>146</v>
      </c>
    </row>
    <row r="71" spans="1:17" ht="17.100000000000001" customHeight="1">
      <c r="A71" s="38"/>
      <c r="B71" s="334"/>
      <c r="C71" s="422"/>
      <c r="D71" s="408"/>
      <c r="E71" s="411"/>
      <c r="F71" s="405"/>
      <c r="G71" s="403"/>
      <c r="H71" s="415"/>
      <c r="I71" s="29" t="s">
        <v>381</v>
      </c>
      <c r="J71" s="45">
        <v>0</v>
      </c>
      <c r="K71" s="381" t="s">
        <v>146</v>
      </c>
      <c r="L71" s="46" t="s">
        <v>121</v>
      </c>
      <c r="M71" s="381">
        <v>0</v>
      </c>
      <c r="N71" s="381" t="s">
        <v>124</v>
      </c>
      <c r="O71" s="106" t="s">
        <v>136</v>
      </c>
      <c r="P71" s="45">
        <f>SUM(J71*M71)</f>
        <v>0</v>
      </c>
      <c r="Q71" s="47" t="s">
        <v>146</v>
      </c>
    </row>
    <row r="72" spans="1:17" ht="17.100000000000001" customHeight="1">
      <c r="A72" s="38"/>
      <c r="B72" s="334"/>
      <c r="C72" s="423"/>
      <c r="D72" s="409"/>
      <c r="E72" s="412"/>
      <c r="F72" s="406"/>
      <c r="G72" s="413"/>
      <c r="H72" s="416"/>
      <c r="I72" s="101" t="s">
        <v>383</v>
      </c>
      <c r="J72" s="68">
        <v>555606290</v>
      </c>
      <c r="K72" s="380" t="s">
        <v>146</v>
      </c>
      <c r="L72" s="69" t="s">
        <v>121</v>
      </c>
      <c r="M72" s="380">
        <v>1</v>
      </c>
      <c r="N72" s="380" t="s">
        <v>124</v>
      </c>
      <c r="O72" s="70" t="s">
        <v>136</v>
      </c>
      <c r="P72" s="68">
        <f>SUM(J72*M72)</f>
        <v>555606290</v>
      </c>
      <c r="Q72" s="71" t="s">
        <v>146</v>
      </c>
    </row>
    <row r="73" spans="1:17" ht="17.100000000000001" customHeight="1">
      <c r="A73" s="19"/>
      <c r="B73" s="343"/>
      <c r="C73" s="443" t="s">
        <v>333</v>
      </c>
      <c r="D73" s="407">
        <v>670350</v>
      </c>
      <c r="E73" s="410">
        <f>+P73/1000</f>
        <v>730000</v>
      </c>
      <c r="F73" s="404">
        <v>538723</v>
      </c>
      <c r="G73" s="402">
        <f>+E73-D73</f>
        <v>59650</v>
      </c>
      <c r="H73" s="414">
        <f>+G73/D73*100</f>
        <v>8.8983366897889162</v>
      </c>
      <c r="I73" s="41"/>
      <c r="J73" s="52"/>
      <c r="K73" s="330"/>
      <c r="L73" s="330"/>
      <c r="M73" s="420" t="s">
        <v>159</v>
      </c>
      <c r="N73" s="420"/>
      <c r="O73" s="420"/>
      <c r="P73" s="52">
        <f>SUM(P74:P75)</f>
        <v>730000000</v>
      </c>
      <c r="Q73" s="37" t="s">
        <v>146</v>
      </c>
    </row>
    <row r="74" spans="1:17" ht="17.100000000000001" customHeight="1">
      <c r="A74" s="38"/>
      <c r="B74" s="334"/>
      <c r="C74" s="444"/>
      <c r="D74" s="408"/>
      <c r="E74" s="411"/>
      <c r="F74" s="405"/>
      <c r="G74" s="403"/>
      <c r="H74" s="415"/>
      <c r="I74" s="29" t="s">
        <v>399</v>
      </c>
      <c r="J74" s="45">
        <v>245000000</v>
      </c>
      <c r="K74" s="381" t="s">
        <v>146</v>
      </c>
      <c r="L74" s="46" t="s">
        <v>121</v>
      </c>
      <c r="M74" s="381">
        <v>2</v>
      </c>
      <c r="N74" s="381" t="s">
        <v>124</v>
      </c>
      <c r="O74" s="53" t="s">
        <v>136</v>
      </c>
      <c r="P74" s="45">
        <f>SUM(J74*M74)</f>
        <v>490000000</v>
      </c>
      <c r="Q74" s="47" t="s">
        <v>146</v>
      </c>
    </row>
    <row r="75" spans="1:17" ht="17.100000000000001" customHeight="1">
      <c r="A75" s="38"/>
      <c r="B75" s="334"/>
      <c r="C75" s="445"/>
      <c r="D75" s="409"/>
      <c r="E75" s="412"/>
      <c r="F75" s="406"/>
      <c r="G75" s="413">
        <f>+D75-E75</f>
        <v>0</v>
      </c>
      <c r="H75" s="416"/>
      <c r="I75" s="67" t="s">
        <v>362</v>
      </c>
      <c r="J75" s="68">
        <v>20000000</v>
      </c>
      <c r="K75" s="380" t="s">
        <v>146</v>
      </c>
      <c r="L75" s="69" t="s">
        <v>121</v>
      </c>
      <c r="M75" s="380">
        <v>12</v>
      </c>
      <c r="N75" s="380" t="s">
        <v>124</v>
      </c>
      <c r="O75" s="70" t="s">
        <v>136</v>
      </c>
      <c r="P75" s="68">
        <f>SUM(J75*M75)</f>
        <v>240000000</v>
      </c>
      <c r="Q75" s="71" t="s">
        <v>146</v>
      </c>
    </row>
    <row r="76" spans="1:17" ht="17.100000000000001" customHeight="1">
      <c r="A76" s="19"/>
      <c r="B76" s="344"/>
      <c r="C76" s="430" t="s">
        <v>328</v>
      </c>
      <c r="D76" s="407">
        <v>326290</v>
      </c>
      <c r="E76" s="407">
        <f>+P76/1000</f>
        <v>331549.99991999997</v>
      </c>
      <c r="F76" s="404">
        <v>22522</v>
      </c>
      <c r="G76" s="402">
        <f>+E76-D76</f>
        <v>5259.9999199999729</v>
      </c>
      <c r="H76" s="414">
        <f>+G76/D76*100</f>
        <v>1.6120628643231396</v>
      </c>
      <c r="I76" s="41"/>
      <c r="J76" s="42"/>
      <c r="K76" s="330"/>
      <c r="L76" s="330"/>
      <c r="M76" s="420" t="s">
        <v>159</v>
      </c>
      <c r="N76" s="420"/>
      <c r="O76" s="420"/>
      <c r="P76" s="42">
        <f>SUM(P77:P79)</f>
        <v>331549999.91999996</v>
      </c>
      <c r="Q76" s="37" t="s">
        <v>146</v>
      </c>
    </row>
    <row r="77" spans="1:17" ht="17.100000000000001" customHeight="1">
      <c r="A77" s="38"/>
      <c r="B77" s="334"/>
      <c r="C77" s="431"/>
      <c r="D77" s="408"/>
      <c r="E77" s="408"/>
      <c r="F77" s="405"/>
      <c r="G77" s="403"/>
      <c r="H77" s="415"/>
      <c r="I77" s="108" t="s">
        <v>181</v>
      </c>
      <c r="J77" s="45">
        <v>7713333.3300000001</v>
      </c>
      <c r="K77" s="381" t="s">
        <v>146</v>
      </c>
      <c r="L77" s="46" t="s">
        <v>121</v>
      </c>
      <c r="M77" s="381">
        <v>12</v>
      </c>
      <c r="N77" s="381" t="s">
        <v>129</v>
      </c>
      <c r="O77" s="53" t="s">
        <v>136</v>
      </c>
      <c r="P77" s="45">
        <f>SUM(J77*M77)</f>
        <v>92559999.960000008</v>
      </c>
      <c r="Q77" s="47" t="s">
        <v>146</v>
      </c>
    </row>
    <row r="78" spans="1:17" ht="17.100000000000001" customHeight="1">
      <c r="A78" s="38"/>
      <c r="B78" s="334"/>
      <c r="C78" s="431"/>
      <c r="D78" s="408"/>
      <c r="E78" s="408"/>
      <c r="F78" s="43"/>
      <c r="G78" s="403"/>
      <c r="H78" s="415"/>
      <c r="I78" s="108" t="s">
        <v>388</v>
      </c>
      <c r="J78" s="45">
        <v>18915833.329999998</v>
      </c>
      <c r="K78" s="381" t="s">
        <v>146</v>
      </c>
      <c r="L78" s="46" t="s">
        <v>121</v>
      </c>
      <c r="M78" s="381">
        <v>12</v>
      </c>
      <c r="N78" s="381" t="s">
        <v>124</v>
      </c>
      <c r="O78" s="53" t="s">
        <v>136</v>
      </c>
      <c r="P78" s="45">
        <f>SUM(J78*M78)</f>
        <v>226989999.95999998</v>
      </c>
      <c r="Q78" s="47" t="s">
        <v>146</v>
      </c>
    </row>
    <row r="79" spans="1:17" ht="17.100000000000001" customHeight="1">
      <c r="A79" s="38"/>
      <c r="B79" s="326"/>
      <c r="C79" s="431"/>
      <c r="D79" s="408"/>
      <c r="E79" s="408"/>
      <c r="F79" s="48"/>
      <c r="G79" s="403"/>
      <c r="H79" s="415"/>
      <c r="I79" s="108" t="s">
        <v>405</v>
      </c>
      <c r="J79" s="45">
        <v>12000000</v>
      </c>
      <c r="K79" s="381" t="s">
        <v>146</v>
      </c>
      <c r="L79" s="46" t="s">
        <v>121</v>
      </c>
      <c r="M79" s="381">
        <v>1</v>
      </c>
      <c r="N79" s="381" t="s">
        <v>124</v>
      </c>
      <c r="O79" s="53" t="s">
        <v>136</v>
      </c>
      <c r="P79" s="45">
        <f>SUM(J79*M79)</f>
        <v>12000000</v>
      </c>
      <c r="Q79" s="47" t="s">
        <v>146</v>
      </c>
    </row>
    <row r="80" spans="1:17" ht="18.95" customHeight="1">
      <c r="A80" s="85" t="s">
        <v>155</v>
      </c>
      <c r="B80" s="424" t="s">
        <v>165</v>
      </c>
      <c r="C80" s="425"/>
      <c r="D80" s="55">
        <f>SUM(D81)</f>
        <v>5420197.1209999993</v>
      </c>
      <c r="E80" s="56">
        <f>SUM(E81)</f>
        <v>5440197.1209999993</v>
      </c>
      <c r="F80" s="104">
        <f>SUM(F81)</f>
        <v>1596860</v>
      </c>
      <c r="G80" s="58">
        <f>+E80-D80</f>
        <v>20000</v>
      </c>
      <c r="H80" s="59">
        <f t="shared" ref="H80:H92" si="2">+G80/D80*100</f>
        <v>0.36899027016032399</v>
      </c>
      <c r="I80" s="60"/>
      <c r="J80" s="60"/>
      <c r="K80" s="347"/>
      <c r="L80" s="347"/>
      <c r="M80" s="60"/>
      <c r="N80" s="60"/>
      <c r="O80" s="60"/>
      <c r="P80" s="61">
        <f>SUM(P81)</f>
        <v>5440197121</v>
      </c>
      <c r="Q80" s="62" t="s">
        <v>146</v>
      </c>
    </row>
    <row r="81" spans="1:19" ht="17.100000000000001" customHeight="1">
      <c r="A81" s="38"/>
      <c r="B81" s="109" t="s">
        <v>155</v>
      </c>
      <c r="C81" s="333" t="s">
        <v>166</v>
      </c>
      <c r="D81" s="327">
        <f>SUM(D82:D84)</f>
        <v>5420197.1209999993</v>
      </c>
      <c r="E81" s="110">
        <f>SUM(E82:E84)</f>
        <v>5440197.1209999993</v>
      </c>
      <c r="F81" s="111">
        <f>SUM(F82:F84)</f>
        <v>1596860</v>
      </c>
      <c r="G81" s="33">
        <f>E81-D81</f>
        <v>20000</v>
      </c>
      <c r="H81" s="348">
        <f t="shared" si="2"/>
        <v>0.36899027016032399</v>
      </c>
      <c r="I81" s="86" t="s">
        <v>158</v>
      </c>
      <c r="J81" s="60" t="s">
        <v>158</v>
      </c>
      <c r="K81" s="330"/>
      <c r="L81" s="330"/>
      <c r="M81" s="86"/>
      <c r="N81" s="436" t="s">
        <v>159</v>
      </c>
      <c r="O81" s="436"/>
      <c r="P81" s="36">
        <f>SUM(P82:P84)</f>
        <v>5440197121</v>
      </c>
      <c r="Q81" s="37" t="s">
        <v>146</v>
      </c>
    </row>
    <row r="82" spans="1:19" ht="17.100000000000001" customHeight="1">
      <c r="A82" s="38"/>
      <c r="B82" s="326"/>
      <c r="C82" s="112" t="s">
        <v>31</v>
      </c>
      <c r="D82" s="113">
        <v>2166305.7239999999</v>
      </c>
      <c r="E82" s="114">
        <f>+P82/1000</f>
        <v>2166305.7239999999</v>
      </c>
      <c r="F82" s="115">
        <v>313065</v>
      </c>
      <c r="G82" s="33">
        <f>E82-D82</f>
        <v>0</v>
      </c>
      <c r="H82" s="348">
        <f t="shared" si="2"/>
        <v>0</v>
      </c>
      <c r="I82" s="116" t="s">
        <v>31</v>
      </c>
      <c r="J82" s="117">
        <v>2166305724</v>
      </c>
      <c r="K82" s="60" t="s">
        <v>146</v>
      </c>
      <c r="L82" s="118" t="s">
        <v>121</v>
      </c>
      <c r="M82" s="347">
        <v>1</v>
      </c>
      <c r="N82" s="347" t="s">
        <v>124</v>
      </c>
      <c r="O82" s="119" t="s">
        <v>136</v>
      </c>
      <c r="P82" s="120">
        <f>+J82*M82</f>
        <v>2166305724</v>
      </c>
      <c r="Q82" s="83" t="s">
        <v>146</v>
      </c>
    </row>
    <row r="83" spans="1:19" ht="17.100000000000001" customHeight="1">
      <c r="A83" s="38"/>
      <c r="B83" s="326"/>
      <c r="C83" s="112" t="s">
        <v>191</v>
      </c>
      <c r="D83" s="77">
        <v>1420811.4</v>
      </c>
      <c r="E83" s="114">
        <f>+P83/1000</f>
        <v>1420811.4</v>
      </c>
      <c r="F83" s="115">
        <v>1283795</v>
      </c>
      <c r="G83" s="33">
        <f>E83-D83</f>
        <v>0</v>
      </c>
      <c r="H83" s="348">
        <f t="shared" si="2"/>
        <v>0</v>
      </c>
      <c r="I83" s="116" t="s">
        <v>191</v>
      </c>
      <c r="J83" s="117">
        <v>1420811400</v>
      </c>
      <c r="K83" s="60" t="s">
        <v>146</v>
      </c>
      <c r="L83" s="118" t="s">
        <v>121</v>
      </c>
      <c r="M83" s="347">
        <v>1</v>
      </c>
      <c r="N83" s="347" t="s">
        <v>124</v>
      </c>
      <c r="O83" s="119" t="s">
        <v>136</v>
      </c>
      <c r="P83" s="120">
        <f>+J83*M83</f>
        <v>1420811400</v>
      </c>
      <c r="Q83" s="83" t="s">
        <v>146</v>
      </c>
    </row>
    <row r="84" spans="1:19" ht="17.100000000000001" customHeight="1">
      <c r="A84" s="38"/>
      <c r="B84" s="326" t="s">
        <v>158</v>
      </c>
      <c r="C84" s="333" t="s">
        <v>201</v>
      </c>
      <c r="D84" s="77">
        <v>1833079.997</v>
      </c>
      <c r="E84" s="114">
        <f>+P84/1000</f>
        <v>1853079.997</v>
      </c>
      <c r="F84" s="115">
        <v>0</v>
      </c>
      <c r="G84" s="33">
        <f>E84-D84</f>
        <v>20000</v>
      </c>
      <c r="H84" s="348">
        <f t="shared" si="2"/>
        <v>1.0910598573292927</v>
      </c>
      <c r="I84" s="41" t="s">
        <v>201</v>
      </c>
      <c r="J84" s="117">
        <v>1853079997</v>
      </c>
      <c r="K84" s="86" t="s">
        <v>146</v>
      </c>
      <c r="L84" s="51" t="s">
        <v>121</v>
      </c>
      <c r="M84" s="330">
        <v>1</v>
      </c>
      <c r="N84" s="330" t="s">
        <v>124</v>
      </c>
      <c r="O84" s="121" t="s">
        <v>136</v>
      </c>
      <c r="P84" s="52">
        <f>+J84*M84</f>
        <v>1853079997</v>
      </c>
      <c r="Q84" s="37" t="s">
        <v>146</v>
      </c>
    </row>
    <row r="85" spans="1:19" ht="18.95" customHeight="1">
      <c r="A85" s="85" t="s">
        <v>160</v>
      </c>
      <c r="B85" s="425" t="s">
        <v>165</v>
      </c>
      <c r="C85" s="439"/>
      <c r="D85" s="122">
        <f>D86</f>
        <v>83136</v>
      </c>
      <c r="E85" s="56">
        <f>E86</f>
        <v>184201</v>
      </c>
      <c r="F85" s="55">
        <f>F86</f>
        <v>0</v>
      </c>
      <c r="G85" s="58">
        <f>G86</f>
        <v>101065</v>
      </c>
      <c r="H85" s="59">
        <f t="shared" si="2"/>
        <v>121.56586797536566</v>
      </c>
      <c r="I85" s="41"/>
      <c r="J85" s="52"/>
      <c r="K85" s="86"/>
      <c r="L85" s="51"/>
      <c r="M85" s="330"/>
      <c r="N85" s="330"/>
      <c r="O85" s="121"/>
      <c r="P85" s="123">
        <f>SUM(P86)</f>
        <v>184200400</v>
      </c>
      <c r="Q85" s="124" t="s">
        <v>146</v>
      </c>
    </row>
    <row r="86" spans="1:19" ht="17.100000000000001" customHeight="1">
      <c r="A86" s="19"/>
      <c r="B86" s="343" t="s">
        <v>160</v>
      </c>
      <c r="C86" s="342" t="s">
        <v>166</v>
      </c>
      <c r="D86" s="327">
        <f>SUM(D87:D92)</f>
        <v>83136</v>
      </c>
      <c r="E86" s="110">
        <f>SUM(E87:E92)</f>
        <v>184201</v>
      </c>
      <c r="F86" s="125"/>
      <c r="G86" s="33">
        <f>E86-D86</f>
        <v>101065</v>
      </c>
      <c r="H86" s="329">
        <f>G86/D86*100</f>
        <v>121.56586797536566</v>
      </c>
      <c r="I86" s="41"/>
      <c r="J86" s="52"/>
      <c r="K86" s="86"/>
      <c r="L86" s="51"/>
      <c r="M86" s="330"/>
      <c r="N86" s="436" t="s">
        <v>159</v>
      </c>
      <c r="O86" s="436"/>
      <c r="P86" s="52">
        <f>SUM(P87:P89)</f>
        <v>184200400</v>
      </c>
      <c r="Q86" s="37" t="s">
        <v>146</v>
      </c>
    </row>
    <row r="87" spans="1:19" ht="17.100000000000001" customHeight="1">
      <c r="A87" s="38"/>
      <c r="B87" s="326"/>
      <c r="C87" s="345" t="s">
        <v>203</v>
      </c>
      <c r="D87" s="77">
        <v>12000</v>
      </c>
      <c r="E87" s="110">
        <f>P87/1000</f>
        <v>78000</v>
      </c>
      <c r="F87" s="126"/>
      <c r="G87" s="33">
        <f>+E87-D87</f>
        <v>66000</v>
      </c>
      <c r="H87" s="329">
        <f>G87/D87*100</f>
        <v>550</v>
      </c>
      <c r="I87" s="116" t="s">
        <v>203</v>
      </c>
      <c r="J87" s="117">
        <v>19500000</v>
      </c>
      <c r="K87" s="347" t="s">
        <v>146</v>
      </c>
      <c r="L87" s="118" t="s">
        <v>121</v>
      </c>
      <c r="M87" s="347">
        <v>4</v>
      </c>
      <c r="N87" s="347" t="s">
        <v>154</v>
      </c>
      <c r="O87" s="119" t="s">
        <v>136</v>
      </c>
      <c r="P87" s="117">
        <f>SUM(J87*M87)</f>
        <v>78000000</v>
      </c>
      <c r="Q87" s="83" t="s">
        <v>146</v>
      </c>
    </row>
    <row r="88" spans="1:19" ht="17.100000000000001" customHeight="1">
      <c r="A88" s="38"/>
      <c r="B88" s="326"/>
      <c r="C88" s="345" t="s">
        <v>307</v>
      </c>
      <c r="D88" s="77">
        <v>6849</v>
      </c>
      <c r="E88" s="78">
        <v>6849</v>
      </c>
      <c r="F88" s="126"/>
      <c r="G88" s="33">
        <f>+E88-D88</f>
        <v>0</v>
      </c>
      <c r="H88" s="348">
        <f>G88/D88*100</f>
        <v>0</v>
      </c>
      <c r="I88" s="127" t="s">
        <v>443</v>
      </c>
      <c r="J88" s="117">
        <v>6848400</v>
      </c>
      <c r="K88" s="347" t="s">
        <v>146</v>
      </c>
      <c r="L88" s="347" t="s">
        <v>121</v>
      </c>
      <c r="M88" s="60">
        <v>1</v>
      </c>
      <c r="N88" s="347" t="s">
        <v>124</v>
      </c>
      <c r="O88" s="60" t="s">
        <v>136</v>
      </c>
      <c r="P88" s="117">
        <f>J88*M88</f>
        <v>6848400</v>
      </c>
      <c r="Q88" s="83" t="s">
        <v>146</v>
      </c>
    </row>
    <row r="89" spans="1:19" ht="17.100000000000001" customHeight="1">
      <c r="A89" s="38"/>
      <c r="B89" s="326"/>
      <c r="C89" s="421" t="s">
        <v>357</v>
      </c>
      <c r="D89" s="408">
        <v>64287</v>
      </c>
      <c r="E89" s="411">
        <f>+P89/1000</f>
        <v>99352</v>
      </c>
      <c r="F89" s="404">
        <v>6500</v>
      </c>
      <c r="G89" s="403">
        <f>+E89-D89</f>
        <v>35065</v>
      </c>
      <c r="H89" s="437">
        <f t="shared" si="2"/>
        <v>54.544464666262229</v>
      </c>
      <c r="I89" s="41"/>
      <c r="J89" s="42"/>
      <c r="K89" s="330"/>
      <c r="L89" s="330"/>
      <c r="M89" s="420" t="s">
        <v>159</v>
      </c>
      <c r="N89" s="420"/>
      <c r="O89" s="420"/>
      <c r="P89" s="42">
        <f>SUM(P90:P92)</f>
        <v>99352000</v>
      </c>
      <c r="Q89" s="37" t="s">
        <v>146</v>
      </c>
    </row>
    <row r="90" spans="1:19" ht="17.100000000000001" customHeight="1">
      <c r="A90" s="38"/>
      <c r="B90" s="326"/>
      <c r="C90" s="422"/>
      <c r="D90" s="408"/>
      <c r="E90" s="411"/>
      <c r="F90" s="405"/>
      <c r="G90" s="403"/>
      <c r="H90" s="437" t="e">
        <f t="shared" si="2"/>
        <v>#DIV/0!</v>
      </c>
      <c r="I90" s="44" t="s">
        <v>176</v>
      </c>
      <c r="J90" s="30">
        <v>1000000</v>
      </c>
      <c r="K90" s="381" t="s">
        <v>146</v>
      </c>
      <c r="L90" s="46" t="s">
        <v>121</v>
      </c>
      <c r="M90" s="381">
        <v>1</v>
      </c>
      <c r="N90" s="381" t="s">
        <v>124</v>
      </c>
      <c r="O90" s="53" t="s">
        <v>136</v>
      </c>
      <c r="P90" s="30">
        <f>J90*M90</f>
        <v>1000000</v>
      </c>
      <c r="Q90" s="47" t="s">
        <v>146</v>
      </c>
    </row>
    <row r="91" spans="1:19" ht="17.100000000000001" customHeight="1">
      <c r="A91" s="38"/>
      <c r="B91" s="326"/>
      <c r="C91" s="422"/>
      <c r="D91" s="408"/>
      <c r="E91" s="411"/>
      <c r="F91" s="405"/>
      <c r="G91" s="403"/>
      <c r="H91" s="414"/>
      <c r="I91" s="49" t="s">
        <v>4</v>
      </c>
      <c r="J91" s="30">
        <v>53745000</v>
      </c>
      <c r="K91" s="381" t="s">
        <v>146</v>
      </c>
      <c r="L91" s="46" t="s">
        <v>121</v>
      </c>
      <c r="M91" s="381">
        <v>1</v>
      </c>
      <c r="N91" s="381" t="s">
        <v>124</v>
      </c>
      <c r="O91" s="53" t="s">
        <v>136</v>
      </c>
      <c r="P91" s="30">
        <f>J91*M91</f>
        <v>53745000</v>
      </c>
      <c r="Q91" s="47" t="s">
        <v>146</v>
      </c>
    </row>
    <row r="92" spans="1:19" ht="15.95" customHeight="1">
      <c r="A92" s="128"/>
      <c r="B92" s="95"/>
      <c r="C92" s="426"/>
      <c r="D92" s="427"/>
      <c r="E92" s="442"/>
      <c r="F92" s="440"/>
      <c r="G92" s="441">
        <f>+E92-D92</f>
        <v>0</v>
      </c>
      <c r="H92" s="438" t="e">
        <f t="shared" si="2"/>
        <v>#DIV/0!</v>
      </c>
      <c r="I92" s="605" t="s">
        <v>357</v>
      </c>
      <c r="J92" s="606">
        <v>8921400</v>
      </c>
      <c r="K92" s="97" t="s">
        <v>146</v>
      </c>
      <c r="L92" s="98" t="s">
        <v>121</v>
      </c>
      <c r="M92" s="97">
        <v>5</v>
      </c>
      <c r="N92" s="97" t="s">
        <v>124</v>
      </c>
      <c r="O92" s="99" t="s">
        <v>136</v>
      </c>
      <c r="P92" s="30">
        <f>J92*M92</f>
        <v>44607000</v>
      </c>
      <c r="Q92" s="100" t="s">
        <v>146</v>
      </c>
      <c r="S92" s="129"/>
    </row>
    <row r="93" spans="1:19">
      <c r="S93" s="129"/>
    </row>
    <row r="94" spans="1:19">
      <c r="S94" s="129"/>
    </row>
    <row r="95" spans="1:19">
      <c r="S95" s="129"/>
    </row>
    <row r="96" spans="1:19">
      <c r="S96" s="129"/>
    </row>
    <row r="97" spans="1:19">
      <c r="S97" s="129"/>
    </row>
    <row r="98" spans="1:19">
      <c r="S98" s="129"/>
    </row>
    <row r="101" spans="1:19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</sheetData>
  <mergeCells count="134">
    <mergeCell ref="C76:C79"/>
    <mergeCell ref="D76:D79"/>
    <mergeCell ref="E76:E79"/>
    <mergeCell ref="G76:G79"/>
    <mergeCell ref="H76:H79"/>
    <mergeCell ref="M17:O17"/>
    <mergeCell ref="E19:E23"/>
    <mergeCell ref="G19:G23"/>
    <mergeCell ref="A6:C6"/>
    <mergeCell ref="H19:H23"/>
    <mergeCell ref="C9:C16"/>
    <mergeCell ref="D9:D16"/>
    <mergeCell ref="E9:E16"/>
    <mergeCell ref="F28:F31"/>
    <mergeCell ref="C28:C31"/>
    <mergeCell ref="D28:D31"/>
    <mergeCell ref="E28:E31"/>
    <mergeCell ref="G28:G31"/>
    <mergeCell ref="H28:H31"/>
    <mergeCell ref="C17:C18"/>
    <mergeCell ref="D17:D18"/>
    <mergeCell ref="E17:E18"/>
    <mergeCell ref="G17:G18"/>
    <mergeCell ref="H17:H18"/>
    <mergeCell ref="A1:Q1"/>
    <mergeCell ref="F34:F35"/>
    <mergeCell ref="D19:D23"/>
    <mergeCell ref="M9:O9"/>
    <mergeCell ref="E4:E5"/>
    <mergeCell ref="A4:A5"/>
    <mergeCell ref="B32:C32"/>
    <mergeCell ref="F4:F5"/>
    <mergeCell ref="B4:B5"/>
    <mergeCell ref="M28:O28"/>
    <mergeCell ref="H34:H35"/>
    <mergeCell ref="E24:E25"/>
    <mergeCell ref="G24:G25"/>
    <mergeCell ref="H24:H25"/>
    <mergeCell ref="E34:E35"/>
    <mergeCell ref="G34:G35"/>
    <mergeCell ref="C4:C5"/>
    <mergeCell ref="G4:H4"/>
    <mergeCell ref="C19:C23"/>
    <mergeCell ref="G9:G16"/>
    <mergeCell ref="H9:H16"/>
    <mergeCell ref="C34:C35"/>
    <mergeCell ref="I4:Q5"/>
    <mergeCell ref="B7:C7"/>
    <mergeCell ref="O3:Q3"/>
    <mergeCell ref="F19:F23"/>
    <mergeCell ref="D4:D5"/>
    <mergeCell ref="E49:E53"/>
    <mergeCell ref="C55:C56"/>
    <mergeCell ref="D55:D56"/>
    <mergeCell ref="E55:E56"/>
    <mergeCell ref="C40:C44"/>
    <mergeCell ref="B26:C26"/>
    <mergeCell ref="D34:D35"/>
    <mergeCell ref="B36:C36"/>
    <mergeCell ref="D38:D39"/>
    <mergeCell ref="E38:E39"/>
    <mergeCell ref="M19:O19"/>
    <mergeCell ref="I28:J28"/>
    <mergeCell ref="C38:C39"/>
    <mergeCell ref="C24:C25"/>
    <mergeCell ref="D24:D25"/>
    <mergeCell ref="M24:O24"/>
    <mergeCell ref="A3:B3"/>
    <mergeCell ref="G49:G53"/>
    <mergeCell ref="F40:F41"/>
    <mergeCell ref="G40:G44"/>
    <mergeCell ref="F45:F46"/>
    <mergeCell ref="M89:O89"/>
    <mergeCell ref="N86:O86"/>
    <mergeCell ref="N81:O81"/>
    <mergeCell ref="H89:H92"/>
    <mergeCell ref="B85:C85"/>
    <mergeCell ref="F89:F92"/>
    <mergeCell ref="B80:C80"/>
    <mergeCell ref="C89:C92"/>
    <mergeCell ref="F67:F69"/>
    <mergeCell ref="G89:G92"/>
    <mergeCell ref="G67:G69"/>
    <mergeCell ref="D89:D92"/>
    <mergeCell ref="E89:E92"/>
    <mergeCell ref="F76:F77"/>
    <mergeCell ref="M76:O76"/>
    <mergeCell ref="C70:C72"/>
    <mergeCell ref="D70:D72"/>
    <mergeCell ref="E70:E72"/>
    <mergeCell ref="F70:F72"/>
    <mergeCell ref="M70:O70"/>
    <mergeCell ref="C73:C75"/>
    <mergeCell ref="D73:D75"/>
    <mergeCell ref="E73:E75"/>
    <mergeCell ref="F73:F75"/>
    <mergeCell ref="H57:H64"/>
    <mergeCell ref="M67:O67"/>
    <mergeCell ref="H67:H69"/>
    <mergeCell ref="M49:O49"/>
    <mergeCell ref="H49:H53"/>
    <mergeCell ref="F55:F56"/>
    <mergeCell ref="G55:G56"/>
    <mergeCell ref="G57:G64"/>
    <mergeCell ref="H55:H56"/>
    <mergeCell ref="M55:O55"/>
    <mergeCell ref="G45:G48"/>
    <mergeCell ref="H45:H48"/>
    <mergeCell ref="G73:G75"/>
    <mergeCell ref="H73:H75"/>
    <mergeCell ref="M73:O73"/>
    <mergeCell ref="M40:O40"/>
    <mergeCell ref="M45:O45"/>
    <mergeCell ref="H40:H44"/>
    <mergeCell ref="C67:C69"/>
    <mergeCell ref="B65:C65"/>
    <mergeCell ref="C49:C53"/>
    <mergeCell ref="D49:D53"/>
    <mergeCell ref="D40:D44"/>
    <mergeCell ref="D57:D64"/>
    <mergeCell ref="C57:C64"/>
    <mergeCell ref="E40:E44"/>
    <mergeCell ref="C45:C48"/>
    <mergeCell ref="D45:D48"/>
    <mergeCell ref="E45:E48"/>
    <mergeCell ref="G38:G39"/>
    <mergeCell ref="F57:F64"/>
    <mergeCell ref="D67:D69"/>
    <mergeCell ref="E67:E69"/>
    <mergeCell ref="G70:G72"/>
    <mergeCell ref="H70:H72"/>
    <mergeCell ref="H38:H39"/>
    <mergeCell ref="F38:F39"/>
    <mergeCell ref="E57:E64"/>
  </mergeCells>
  <phoneticPr fontId="6" type="noConversion"/>
  <printOptions horizontalCentered="1"/>
  <pageMargins left="0.27559055118110237" right="0.27559055118110237" top="0.59055118110236227" bottom="0.39370078740157483" header="0.39370078740157483" footer="0.19685039370078741"/>
  <pageSetup paperSize="9" scale="93" orientation="landscape" r:id="rId1"/>
  <headerFooter>
    <oddFooter>&amp;C&amp;"맑은 고딕,Regular"&amp;P</oddFooter>
  </headerFooter>
  <rowBreaks count="2" manualBreakCount="2">
    <brk id="34" max="1048575" man="1"/>
    <brk id="64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F317"/>
  <sheetViews>
    <sheetView view="pageBreakPreview" zoomScaleNormal="100" zoomScaleSheetLayoutView="100" workbookViewId="0">
      <pane ySplit="4" topLeftCell="A156" activePane="bottomLeft" state="frozen"/>
      <selection pane="bottomLeft" sqref="A1:XFD1048576"/>
    </sheetView>
  </sheetViews>
  <sheetFormatPr defaultColWidth="9" defaultRowHeight="17.25"/>
  <cols>
    <col min="1" max="1" width="6.625" style="130" customWidth="1"/>
    <col min="2" max="2" width="6.625" style="107" customWidth="1"/>
    <col min="3" max="3" width="12.75" style="107" customWidth="1"/>
    <col min="4" max="4" width="13.125" style="130" customWidth="1"/>
    <col min="5" max="5" width="13.125" style="133" customWidth="1"/>
    <col min="6" max="6" width="13.125" style="130" hidden="1" customWidth="1"/>
    <col min="7" max="7" width="10.625" style="133" customWidth="1"/>
    <col min="8" max="8" width="9.625" style="134" customWidth="1"/>
    <col min="9" max="9" width="28" style="135" customWidth="1"/>
    <col min="10" max="10" width="12.75" style="30" customWidth="1"/>
    <col min="11" max="11" width="3.125" style="29" customWidth="1"/>
    <col min="12" max="12" width="3.125" style="381" customWidth="1"/>
    <col min="13" max="13" width="4.25" style="381" customWidth="1"/>
    <col min="14" max="15" width="3.125" style="381" customWidth="1"/>
    <col min="16" max="16" width="14.375" style="30" customWidth="1"/>
    <col min="17" max="17" width="2.625" style="29" customWidth="1"/>
    <col min="18" max="28" width="12.5" style="5" hidden="1" customWidth="1"/>
    <col min="29" max="29" width="14.125" style="5" customWidth="1"/>
    <col min="30" max="30" width="13.625" style="6" bestFit="1" customWidth="1"/>
    <col min="31" max="31" width="13.125" style="136" customWidth="1"/>
    <col min="32" max="32" width="12.625" style="136" customWidth="1"/>
    <col min="33" max="33" width="12.625" style="5" customWidth="1"/>
    <col min="34" max="16384" width="9" style="5"/>
  </cols>
  <sheetData>
    <row r="1" spans="1:32" ht="20.25">
      <c r="A1" s="572" t="s">
        <v>258</v>
      </c>
      <c r="B1" s="572"/>
    </row>
    <row r="2" spans="1:32" ht="12.75" customHeight="1" thickBot="1">
      <c r="A2" s="573"/>
      <c r="B2" s="573"/>
      <c r="C2" s="7"/>
      <c r="D2" s="137"/>
      <c r="E2" s="138"/>
      <c r="F2" s="137"/>
      <c r="G2" s="138"/>
      <c r="H2" s="139"/>
      <c r="I2" s="7" t="s">
        <v>158</v>
      </c>
      <c r="J2" s="137"/>
      <c r="K2" s="7"/>
      <c r="L2" s="7"/>
      <c r="M2" s="7"/>
      <c r="N2" s="7"/>
      <c r="O2" s="446" t="s">
        <v>25</v>
      </c>
      <c r="P2" s="446"/>
      <c r="Q2" s="446"/>
    </row>
    <row r="3" spans="1:32" ht="17.25" customHeight="1">
      <c r="A3" s="454" t="s">
        <v>162</v>
      </c>
      <c r="B3" s="472" t="s">
        <v>123</v>
      </c>
      <c r="C3" s="566" t="s">
        <v>120</v>
      </c>
      <c r="D3" s="447" t="s">
        <v>453</v>
      </c>
      <c r="E3" s="537" t="s">
        <v>451</v>
      </c>
      <c r="F3" s="526" t="s">
        <v>180</v>
      </c>
      <c r="G3" s="568" t="s">
        <v>360</v>
      </c>
      <c r="H3" s="568"/>
      <c r="I3" s="566" t="s">
        <v>416</v>
      </c>
      <c r="J3" s="566"/>
      <c r="K3" s="566"/>
      <c r="L3" s="566"/>
      <c r="M3" s="566"/>
      <c r="N3" s="566"/>
      <c r="O3" s="566"/>
      <c r="P3" s="566"/>
      <c r="Q3" s="566"/>
    </row>
    <row r="4" spans="1:32" ht="20.25" customHeight="1" thickBot="1">
      <c r="A4" s="455"/>
      <c r="B4" s="474"/>
      <c r="C4" s="567"/>
      <c r="D4" s="448"/>
      <c r="E4" s="538"/>
      <c r="F4" s="527"/>
      <c r="G4" s="140" t="s">
        <v>140</v>
      </c>
      <c r="H4" s="141" t="s">
        <v>169</v>
      </c>
      <c r="I4" s="567"/>
      <c r="J4" s="567"/>
      <c r="K4" s="567"/>
      <c r="L4" s="567"/>
      <c r="M4" s="567"/>
      <c r="N4" s="567"/>
      <c r="O4" s="567"/>
      <c r="P4" s="567"/>
      <c r="Q4" s="567"/>
    </row>
    <row r="5" spans="1:32" ht="19.5" customHeight="1" thickBot="1">
      <c r="A5" s="477" t="s">
        <v>168</v>
      </c>
      <c r="B5" s="478"/>
      <c r="C5" s="479"/>
      <c r="D5" s="142">
        <f>SUM(D6,D77,D84,D202,D298,D294)</f>
        <v>9472995.0898195989</v>
      </c>
      <c r="E5" s="313">
        <f>SUM(E6,E77,E84,E202,E298,E294)</f>
        <v>10093534.638454599</v>
      </c>
      <c r="F5" s="143" t="e">
        <f>SUM(F6,F77,F84,F202,#REF!,F298)</f>
        <v>#REF!</v>
      </c>
      <c r="G5" s="144">
        <f>+E5-D5</f>
        <v>620539.54863500036</v>
      </c>
      <c r="H5" s="145">
        <f t="shared" ref="H5:H33" si="0">+G5/D5*100</f>
        <v>6.5506161752567502</v>
      </c>
      <c r="I5" s="146"/>
      <c r="J5" s="16"/>
      <c r="K5" s="17"/>
      <c r="L5" s="17"/>
      <c r="M5" s="16"/>
      <c r="N5" s="16"/>
      <c r="O5" s="147"/>
      <c r="P5" s="148">
        <f>SUM(P6,P77,P84,P202,P294,P298)</f>
        <v>10093535119.454601</v>
      </c>
      <c r="Q5" s="149" t="s">
        <v>146</v>
      </c>
    </row>
    <row r="6" spans="1:32" ht="20.100000000000001" customHeight="1" thickTop="1" thickBot="1">
      <c r="A6" s="19" t="s">
        <v>130</v>
      </c>
      <c r="B6" s="574" t="s">
        <v>165</v>
      </c>
      <c r="C6" s="575"/>
      <c r="D6" s="150">
        <f>SUM(D7,D32,D46)</f>
        <v>1552522</v>
      </c>
      <c r="E6" s="152">
        <f>SUM(E7,E32,E46)</f>
        <v>1602621.3796349999</v>
      </c>
      <c r="F6" s="151">
        <f>SUM(F7,F32,F46)</f>
        <v>869305</v>
      </c>
      <c r="G6" s="152">
        <f>+E6-D6</f>
        <v>50099.379634999903</v>
      </c>
      <c r="H6" s="153">
        <f t="shared" si="0"/>
        <v>3.2269674526351251</v>
      </c>
      <c r="I6" s="154"/>
      <c r="J6" s="155"/>
      <c r="K6" s="156"/>
      <c r="L6" s="157"/>
      <c r="M6" s="157"/>
      <c r="N6" s="157"/>
      <c r="O6" s="157"/>
      <c r="P6" s="158">
        <f>SUM(P7,P32,P46)</f>
        <v>1602621379.6349998</v>
      </c>
      <c r="Q6" s="159" t="s">
        <v>146</v>
      </c>
    </row>
    <row r="7" spans="1:32" ht="20.100000000000001" customHeight="1" thickTop="1" thickBot="1">
      <c r="A7" s="160"/>
      <c r="B7" s="343" t="s">
        <v>171</v>
      </c>
      <c r="C7" s="161" t="s">
        <v>166</v>
      </c>
      <c r="D7" s="162">
        <f>SUM(D8:D31)</f>
        <v>1117423</v>
      </c>
      <c r="E7" s="164">
        <f>SUM(E8:E31)</f>
        <v>1177072.1796899999</v>
      </c>
      <c r="F7" s="163">
        <f>SUM(F8:F31)-1</f>
        <v>582084</v>
      </c>
      <c r="G7" s="164">
        <f>+E7-D7</f>
        <v>59649.179689999903</v>
      </c>
      <c r="H7" s="165">
        <f t="shared" si="0"/>
        <v>5.3381020159778263</v>
      </c>
      <c r="I7" s="166"/>
      <c r="P7" s="30">
        <f>SUM(P8,P13,P22,P24,P30)</f>
        <v>1177072179.6899998</v>
      </c>
      <c r="Q7" s="83" t="s">
        <v>146</v>
      </c>
      <c r="R7" s="167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32" ht="15.95" customHeight="1" thickTop="1" thickBot="1">
      <c r="A8" s="160"/>
      <c r="B8" s="326"/>
      <c r="C8" s="486" t="s">
        <v>156</v>
      </c>
      <c r="D8" s="539">
        <v>841696</v>
      </c>
      <c r="E8" s="480">
        <f>P8/1000</f>
        <v>882852.99988999986</v>
      </c>
      <c r="F8" s="361">
        <v>351377</v>
      </c>
      <c r="G8" s="480">
        <f>E8-D8</f>
        <v>41156.999889999861</v>
      </c>
      <c r="H8" s="483">
        <f t="shared" si="0"/>
        <v>4.8897701652377892</v>
      </c>
      <c r="I8" s="41"/>
      <c r="J8" s="42"/>
      <c r="K8" s="86"/>
      <c r="L8" s="330"/>
      <c r="M8" s="330" t="s">
        <v>159</v>
      </c>
      <c r="N8" s="330"/>
      <c r="O8" s="330"/>
      <c r="P8" s="42">
        <f>SUM(P9:P12)</f>
        <v>882852999.88999987</v>
      </c>
      <c r="Q8" s="37" t="s">
        <v>146</v>
      </c>
      <c r="R8" s="6"/>
      <c r="S8" s="168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32" ht="15.95" customHeight="1">
      <c r="A9" s="160"/>
      <c r="B9" s="326"/>
      <c r="C9" s="487"/>
      <c r="D9" s="540"/>
      <c r="E9" s="481"/>
      <c r="F9" s="362"/>
      <c r="G9" s="481"/>
      <c r="H9" s="484"/>
      <c r="I9" s="49" t="s">
        <v>173</v>
      </c>
      <c r="J9" s="30">
        <v>38596333.329999998</v>
      </c>
      <c r="K9" s="29" t="s">
        <v>146</v>
      </c>
      <c r="L9" s="46" t="s">
        <v>121</v>
      </c>
      <c r="M9" s="381">
        <v>12</v>
      </c>
      <c r="N9" s="381" t="s">
        <v>129</v>
      </c>
      <c r="O9" s="53" t="s">
        <v>136</v>
      </c>
      <c r="P9" s="293">
        <f>J9*M9</f>
        <v>463155999.95999998</v>
      </c>
      <c r="Q9" s="47" t="s">
        <v>146</v>
      </c>
      <c r="R9" s="6"/>
      <c r="S9" s="169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32" ht="15.95" customHeight="1">
      <c r="A10" s="160"/>
      <c r="B10" s="326"/>
      <c r="C10" s="487"/>
      <c r="D10" s="540"/>
      <c r="E10" s="481"/>
      <c r="F10" s="362"/>
      <c r="G10" s="481"/>
      <c r="H10" s="484"/>
      <c r="I10" s="49" t="s">
        <v>291</v>
      </c>
      <c r="J10" s="30">
        <v>29744666.66</v>
      </c>
      <c r="K10" s="29" t="s">
        <v>146</v>
      </c>
      <c r="L10" s="46" t="s">
        <v>121</v>
      </c>
      <c r="M10" s="381">
        <v>4.5</v>
      </c>
      <c r="N10" s="381" t="s">
        <v>124</v>
      </c>
      <c r="O10" s="53" t="s">
        <v>136</v>
      </c>
      <c r="P10" s="30">
        <f>J10*M10</f>
        <v>133850999.97</v>
      </c>
      <c r="Q10" s="47" t="s">
        <v>146</v>
      </c>
      <c r="R10" s="6"/>
      <c r="S10" s="169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32" ht="15.95" customHeight="1">
      <c r="A11" s="160"/>
      <c r="B11" s="326"/>
      <c r="C11" s="487"/>
      <c r="D11" s="540"/>
      <c r="E11" s="481"/>
      <c r="F11" s="365"/>
      <c r="G11" s="481"/>
      <c r="H11" s="484"/>
      <c r="I11" s="49" t="s">
        <v>188</v>
      </c>
      <c r="J11" s="30">
        <v>29428000</v>
      </c>
      <c r="K11" s="29" t="s">
        <v>146</v>
      </c>
      <c r="L11" s="46" t="s">
        <v>121</v>
      </c>
      <c r="M11" s="381">
        <v>2</v>
      </c>
      <c r="N11" s="381" t="s">
        <v>124</v>
      </c>
      <c r="O11" s="53" t="s">
        <v>136</v>
      </c>
      <c r="P11" s="30">
        <f>J11*M11</f>
        <v>58856000</v>
      </c>
      <c r="Q11" s="47" t="s">
        <v>146</v>
      </c>
      <c r="R11" s="6"/>
      <c r="S11" s="169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32" ht="15.95" customHeight="1">
      <c r="A12" s="160"/>
      <c r="B12" s="326"/>
      <c r="C12" s="488"/>
      <c r="D12" s="541"/>
      <c r="E12" s="482"/>
      <c r="F12" s="362"/>
      <c r="G12" s="482"/>
      <c r="H12" s="485"/>
      <c r="I12" s="44" t="s">
        <v>179</v>
      </c>
      <c r="J12" s="30">
        <v>18915833.329999998</v>
      </c>
      <c r="K12" s="29" t="s">
        <v>146</v>
      </c>
      <c r="L12" s="46" t="s">
        <v>121</v>
      </c>
      <c r="M12" s="381">
        <v>12</v>
      </c>
      <c r="N12" s="381" t="s">
        <v>129</v>
      </c>
      <c r="O12" s="53" t="s">
        <v>136</v>
      </c>
      <c r="P12" s="30">
        <f>J12*M12</f>
        <v>226989999.95999998</v>
      </c>
      <c r="Q12" s="47" t="s">
        <v>146</v>
      </c>
      <c r="R12" s="6"/>
      <c r="S12" s="169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32" s="29" customFormat="1" ht="15.95" customHeight="1">
      <c r="A13" s="38"/>
      <c r="B13" s="326"/>
      <c r="C13" s="486" t="s">
        <v>153</v>
      </c>
      <c r="D13" s="489">
        <v>104708</v>
      </c>
      <c r="E13" s="480">
        <f>+P13/1000</f>
        <v>112282.79979999999</v>
      </c>
      <c r="F13" s="519">
        <v>102644</v>
      </c>
      <c r="G13" s="480">
        <f>+E13-D13</f>
        <v>7574.7997999999934</v>
      </c>
      <c r="H13" s="495">
        <f t="shared" si="0"/>
        <v>7.23421304962371</v>
      </c>
      <c r="I13" s="41"/>
      <c r="J13" s="42"/>
      <c r="K13" s="86"/>
      <c r="L13" s="330"/>
      <c r="M13" s="420" t="s">
        <v>159</v>
      </c>
      <c r="N13" s="420"/>
      <c r="O13" s="420"/>
      <c r="P13" s="42">
        <f>SUM(P14:P21)</f>
        <v>112282799.8</v>
      </c>
      <c r="Q13" s="37" t="s">
        <v>146</v>
      </c>
      <c r="AD13" s="6"/>
      <c r="AE13" s="136"/>
      <c r="AF13" s="136"/>
    </row>
    <row r="14" spans="1:32" s="29" customFormat="1" ht="15.95" customHeight="1">
      <c r="A14" s="38"/>
      <c r="B14" s="326"/>
      <c r="C14" s="487"/>
      <c r="D14" s="490"/>
      <c r="E14" s="481"/>
      <c r="F14" s="520"/>
      <c r="G14" s="481"/>
      <c r="H14" s="496"/>
      <c r="I14" s="49" t="s">
        <v>157</v>
      </c>
      <c r="J14" s="30">
        <v>2961191.66</v>
      </c>
      <c r="K14" s="29" t="s">
        <v>146</v>
      </c>
      <c r="L14" s="46" t="s">
        <v>121</v>
      </c>
      <c r="M14" s="381">
        <v>12</v>
      </c>
      <c r="N14" s="381" t="s">
        <v>129</v>
      </c>
      <c r="O14" s="53" t="s">
        <v>136</v>
      </c>
      <c r="P14" s="30">
        <f>(J14*M14)</f>
        <v>35534299.920000002</v>
      </c>
      <c r="Q14" s="47" t="s">
        <v>146</v>
      </c>
      <c r="AD14" s="6"/>
      <c r="AE14" s="136"/>
      <c r="AF14" s="136"/>
    </row>
    <row r="15" spans="1:32" s="29" customFormat="1" ht="15.95" customHeight="1">
      <c r="A15" s="38"/>
      <c r="B15" s="326"/>
      <c r="C15" s="487"/>
      <c r="D15" s="490"/>
      <c r="E15" s="481"/>
      <c r="F15" s="520"/>
      <c r="G15" s="481"/>
      <c r="H15" s="496"/>
      <c r="I15" s="49" t="s">
        <v>139</v>
      </c>
      <c r="J15" s="30">
        <v>688333.33</v>
      </c>
      <c r="K15" s="29" t="s">
        <v>146</v>
      </c>
      <c r="L15" s="46" t="s">
        <v>121</v>
      </c>
      <c r="M15" s="381">
        <v>12</v>
      </c>
      <c r="N15" s="381" t="s">
        <v>129</v>
      </c>
      <c r="O15" s="53" t="s">
        <v>136</v>
      </c>
      <c r="P15" s="30">
        <f t="shared" ref="P15:P21" si="1">(J15*M15)</f>
        <v>8259999.959999999</v>
      </c>
      <c r="Q15" s="47" t="s">
        <v>146</v>
      </c>
      <c r="AD15" s="6"/>
      <c r="AE15" s="136"/>
      <c r="AF15" s="136"/>
    </row>
    <row r="16" spans="1:32" s="29" customFormat="1" ht="15.95" customHeight="1">
      <c r="A16" s="38"/>
      <c r="B16" s="326"/>
      <c r="C16" s="487"/>
      <c r="D16" s="490"/>
      <c r="E16" s="481"/>
      <c r="F16" s="520"/>
      <c r="G16" s="481"/>
      <c r="H16" s="496"/>
      <c r="I16" s="49" t="s">
        <v>167</v>
      </c>
      <c r="J16" s="30">
        <v>1410000</v>
      </c>
      <c r="K16" s="29" t="s">
        <v>146</v>
      </c>
      <c r="L16" s="46" t="s">
        <v>121</v>
      </c>
      <c r="M16" s="381">
        <v>12</v>
      </c>
      <c r="N16" s="381" t="s">
        <v>129</v>
      </c>
      <c r="O16" s="53" t="s">
        <v>136</v>
      </c>
      <c r="P16" s="30">
        <f t="shared" si="1"/>
        <v>16920000</v>
      </c>
      <c r="Q16" s="47" t="s">
        <v>146</v>
      </c>
      <c r="AD16" s="6"/>
      <c r="AE16" s="136"/>
      <c r="AF16" s="136"/>
    </row>
    <row r="17" spans="1:32" s="29" customFormat="1" ht="15.95" customHeight="1">
      <c r="A17" s="38"/>
      <c r="B17" s="326"/>
      <c r="C17" s="487"/>
      <c r="D17" s="490"/>
      <c r="E17" s="481"/>
      <c r="F17" s="520"/>
      <c r="G17" s="481"/>
      <c r="H17" s="496"/>
      <c r="I17" s="49" t="s">
        <v>137</v>
      </c>
      <c r="J17" s="30">
        <v>1076666.6599999999</v>
      </c>
      <c r="K17" s="29" t="s">
        <v>146</v>
      </c>
      <c r="L17" s="46" t="s">
        <v>121</v>
      </c>
      <c r="M17" s="381">
        <v>12</v>
      </c>
      <c r="N17" s="381" t="s">
        <v>129</v>
      </c>
      <c r="O17" s="53" t="s">
        <v>136</v>
      </c>
      <c r="P17" s="30">
        <f t="shared" si="1"/>
        <v>12919999.919999998</v>
      </c>
      <c r="Q17" s="47" t="s">
        <v>146</v>
      </c>
      <c r="AD17" s="6"/>
      <c r="AE17" s="136"/>
      <c r="AF17" s="136"/>
    </row>
    <row r="18" spans="1:32" s="29" customFormat="1" ht="15.95" customHeight="1">
      <c r="A18" s="38"/>
      <c r="B18" s="326"/>
      <c r="C18" s="487"/>
      <c r="D18" s="490"/>
      <c r="E18" s="481"/>
      <c r="F18" s="520"/>
      <c r="G18" s="481"/>
      <c r="H18" s="496"/>
      <c r="I18" s="49" t="s">
        <v>161</v>
      </c>
      <c r="J18" s="30">
        <v>1675000</v>
      </c>
      <c r="K18" s="29" t="s">
        <v>146</v>
      </c>
      <c r="L18" s="46" t="s">
        <v>121</v>
      </c>
      <c r="M18" s="381">
        <v>12</v>
      </c>
      <c r="N18" s="381" t="s">
        <v>129</v>
      </c>
      <c r="O18" s="53" t="s">
        <v>136</v>
      </c>
      <c r="P18" s="30">
        <f t="shared" si="1"/>
        <v>20100000</v>
      </c>
      <c r="Q18" s="47" t="s">
        <v>146</v>
      </c>
      <c r="AD18" s="6"/>
      <c r="AE18" s="136"/>
      <c r="AF18" s="136"/>
    </row>
    <row r="19" spans="1:32" s="29" customFormat="1" ht="15.95" customHeight="1">
      <c r="A19" s="38"/>
      <c r="B19" s="326"/>
      <c r="C19" s="487"/>
      <c r="D19" s="490"/>
      <c r="E19" s="481"/>
      <c r="F19" s="520"/>
      <c r="G19" s="481"/>
      <c r="H19" s="496"/>
      <c r="I19" s="49" t="s">
        <v>219</v>
      </c>
      <c r="J19" s="30">
        <v>100000</v>
      </c>
      <c r="K19" s="29" t="s">
        <v>146</v>
      </c>
      <c r="L19" s="46" t="s">
        <v>121</v>
      </c>
      <c r="M19" s="381">
        <v>12</v>
      </c>
      <c r="N19" s="381" t="s">
        <v>129</v>
      </c>
      <c r="O19" s="53" t="s">
        <v>136</v>
      </c>
      <c r="P19" s="30">
        <f t="shared" si="1"/>
        <v>1200000</v>
      </c>
      <c r="Q19" s="47" t="s">
        <v>146</v>
      </c>
      <c r="AD19" s="6"/>
      <c r="AE19" s="136"/>
      <c r="AF19" s="136"/>
    </row>
    <row r="20" spans="1:32" s="29" customFormat="1" ht="15.95" customHeight="1">
      <c r="A20" s="38"/>
      <c r="B20" s="326"/>
      <c r="C20" s="487"/>
      <c r="D20" s="490"/>
      <c r="E20" s="481"/>
      <c r="F20" s="362"/>
      <c r="G20" s="481"/>
      <c r="H20" s="496"/>
      <c r="I20" s="351" t="s">
        <v>292</v>
      </c>
      <c r="J20" s="30">
        <v>954850</v>
      </c>
      <c r="K20" s="29" t="s">
        <v>146</v>
      </c>
      <c r="L20" s="46" t="s">
        <v>121</v>
      </c>
      <c r="M20" s="381">
        <v>10</v>
      </c>
      <c r="N20" s="381" t="s">
        <v>129</v>
      </c>
      <c r="O20" s="53" t="s">
        <v>136</v>
      </c>
      <c r="P20" s="30">
        <f>(J20*M20)</f>
        <v>9548500</v>
      </c>
      <c r="Q20" s="47" t="s">
        <v>146</v>
      </c>
      <c r="AD20" s="6"/>
      <c r="AE20" s="136"/>
      <c r="AF20" s="136"/>
    </row>
    <row r="21" spans="1:32" s="29" customFormat="1" ht="15.95" customHeight="1">
      <c r="A21" s="38"/>
      <c r="B21" s="326"/>
      <c r="C21" s="487"/>
      <c r="D21" s="490"/>
      <c r="E21" s="481"/>
      <c r="F21" s="362"/>
      <c r="G21" s="481"/>
      <c r="H21" s="496"/>
      <c r="I21" s="350" t="s">
        <v>88</v>
      </c>
      <c r="J21" s="30">
        <v>3900000</v>
      </c>
      <c r="K21" s="29" t="s">
        <v>146</v>
      </c>
      <c r="L21" s="46" t="s">
        <v>121</v>
      </c>
      <c r="M21" s="381">
        <v>2</v>
      </c>
      <c r="N21" s="381" t="s">
        <v>124</v>
      </c>
      <c r="O21" s="53" t="s">
        <v>136</v>
      </c>
      <c r="P21" s="30">
        <f t="shared" si="1"/>
        <v>7800000</v>
      </c>
      <c r="Q21" s="47" t="s">
        <v>146</v>
      </c>
      <c r="AD21" s="6"/>
      <c r="AE21" s="136"/>
      <c r="AF21" s="136"/>
    </row>
    <row r="22" spans="1:32" s="29" customFormat="1" ht="15.95" customHeight="1">
      <c r="A22" s="38"/>
      <c r="B22" s="326"/>
      <c r="C22" s="486" t="s">
        <v>233</v>
      </c>
      <c r="D22" s="489">
        <v>73970</v>
      </c>
      <c r="E22" s="480">
        <f>(+P22/1000)</f>
        <v>79165.38</v>
      </c>
      <c r="F22" s="519">
        <v>48032</v>
      </c>
      <c r="G22" s="480">
        <f>E22-D22</f>
        <v>5195.3800000000047</v>
      </c>
      <c r="H22" s="495">
        <f t="shared" si="0"/>
        <v>7.0236312018385902</v>
      </c>
      <c r="I22" s="170"/>
      <c r="J22" s="42"/>
      <c r="K22" s="86"/>
      <c r="L22" s="86"/>
      <c r="M22" s="420" t="s">
        <v>159</v>
      </c>
      <c r="N22" s="420"/>
      <c r="O22" s="420"/>
      <c r="P22" s="42">
        <f>SUM(P23:P23)</f>
        <v>79165380</v>
      </c>
      <c r="Q22" s="37" t="s">
        <v>146</v>
      </c>
      <c r="AD22" s="6"/>
      <c r="AE22" s="136"/>
      <c r="AF22" s="136"/>
    </row>
    <row r="23" spans="1:32" s="29" customFormat="1" ht="15.95" customHeight="1">
      <c r="A23" s="38"/>
      <c r="B23" s="326"/>
      <c r="C23" s="488"/>
      <c r="D23" s="491"/>
      <c r="E23" s="482"/>
      <c r="F23" s="522"/>
      <c r="G23" s="482">
        <f t="shared" ref="G23:G30" si="2">+E23-D23</f>
        <v>0</v>
      </c>
      <c r="H23" s="497" t="e">
        <f t="shared" si="0"/>
        <v>#DIV/0!</v>
      </c>
      <c r="I23" s="49" t="s">
        <v>233</v>
      </c>
      <c r="J23" s="293">
        <f>SUM(P8,P13,P75)-P12-4000000</f>
        <v>776945799.7099998</v>
      </c>
      <c r="K23" s="94" t="s">
        <v>146</v>
      </c>
      <c r="L23" s="381" t="s">
        <v>148</v>
      </c>
      <c r="M23" s="381">
        <v>12</v>
      </c>
      <c r="N23" s="381"/>
      <c r="O23" s="53" t="s">
        <v>136</v>
      </c>
      <c r="P23" s="30">
        <f>ROUND(J23/12,-1)+11542400+2877430+70</f>
        <v>79165380</v>
      </c>
      <c r="Q23" s="47" t="s">
        <v>146</v>
      </c>
      <c r="AD23" s="6"/>
      <c r="AE23" s="136"/>
      <c r="AF23" s="136"/>
    </row>
    <row r="24" spans="1:32" s="29" customFormat="1" ht="15.95" customHeight="1">
      <c r="A24" s="38"/>
      <c r="B24" s="326"/>
      <c r="C24" s="579" t="s">
        <v>41</v>
      </c>
      <c r="D24" s="536">
        <v>96649</v>
      </c>
      <c r="E24" s="507">
        <f>+P24/1000</f>
        <v>102371</v>
      </c>
      <c r="F24" s="510">
        <v>55737</v>
      </c>
      <c r="G24" s="507">
        <f t="shared" si="2"/>
        <v>5722</v>
      </c>
      <c r="H24" s="509">
        <f t="shared" si="0"/>
        <v>5.9203923475669686</v>
      </c>
      <c r="I24" s="170"/>
      <c r="J24" s="42"/>
      <c r="K24" s="86"/>
      <c r="L24" s="330"/>
      <c r="M24" s="420" t="s">
        <v>159</v>
      </c>
      <c r="N24" s="420"/>
      <c r="O24" s="420"/>
      <c r="P24" s="42">
        <f>SUM(P25:P29)</f>
        <v>102371000</v>
      </c>
      <c r="Q24" s="37" t="s">
        <v>146</v>
      </c>
      <c r="AC24" s="29" t="s">
        <v>21</v>
      </c>
      <c r="AD24" s="6"/>
      <c r="AE24" s="136"/>
      <c r="AF24" s="136"/>
    </row>
    <row r="25" spans="1:32" s="29" customFormat="1" ht="15.95" customHeight="1">
      <c r="A25" s="38"/>
      <c r="B25" s="326"/>
      <c r="C25" s="579"/>
      <c r="D25" s="536"/>
      <c r="E25" s="507"/>
      <c r="F25" s="510"/>
      <c r="G25" s="507">
        <f t="shared" si="2"/>
        <v>0</v>
      </c>
      <c r="H25" s="509" t="e">
        <f t="shared" si="0"/>
        <v>#DIV/0!</v>
      </c>
      <c r="I25" s="350" t="s">
        <v>195</v>
      </c>
      <c r="J25" s="30">
        <f>SUM(P8,P13,P75)-P18</f>
        <v>987835799.66999984</v>
      </c>
      <c r="K25" s="29" t="s">
        <v>146</v>
      </c>
      <c r="L25" s="46" t="s">
        <v>121</v>
      </c>
      <c r="M25" s="508">
        <v>4.4999999999999998E-2</v>
      </c>
      <c r="N25" s="508"/>
      <c r="O25" s="53" t="s">
        <v>136</v>
      </c>
      <c r="P25" s="30">
        <f>ROUNDUP(SUM(J25*M25),-3)</f>
        <v>44453000</v>
      </c>
      <c r="Q25" s="47" t="s">
        <v>146</v>
      </c>
      <c r="AC25" s="171">
        <f>P12*4.5%</f>
        <v>10214549.998199999</v>
      </c>
      <c r="AD25" s="30"/>
      <c r="AE25" s="136"/>
      <c r="AF25" s="136"/>
    </row>
    <row r="26" spans="1:32" s="29" customFormat="1" ht="15.95" customHeight="1">
      <c r="A26" s="38"/>
      <c r="B26" s="326"/>
      <c r="C26" s="579"/>
      <c r="D26" s="536"/>
      <c r="E26" s="507"/>
      <c r="F26" s="510"/>
      <c r="G26" s="507">
        <f t="shared" si="2"/>
        <v>0</v>
      </c>
      <c r="H26" s="509" t="e">
        <f t="shared" si="0"/>
        <v>#DIV/0!</v>
      </c>
      <c r="I26" s="350" t="s">
        <v>239</v>
      </c>
      <c r="J26" s="30">
        <f>+J25</f>
        <v>987835799.66999984</v>
      </c>
      <c r="K26" s="29" t="s">
        <v>146</v>
      </c>
      <c r="L26" s="46" t="s">
        <v>121</v>
      </c>
      <c r="M26" s="506">
        <v>3.5450000000000002E-2</v>
      </c>
      <c r="N26" s="506"/>
      <c r="O26" s="381" t="s">
        <v>136</v>
      </c>
      <c r="P26" s="30">
        <f>ROUNDUP(SUM(J26*M26),-3)</f>
        <v>35019000</v>
      </c>
      <c r="Q26" s="47" t="s">
        <v>146</v>
      </c>
      <c r="AC26" s="172">
        <f>P12*M26</f>
        <v>8046795.4985819999</v>
      </c>
      <c r="AD26" s="30" t="s">
        <v>172</v>
      </c>
      <c r="AE26" s="136"/>
      <c r="AF26" s="136"/>
    </row>
    <row r="27" spans="1:32" s="29" customFormat="1" ht="15.95" customHeight="1">
      <c r="A27" s="38"/>
      <c r="B27" s="326"/>
      <c r="C27" s="579"/>
      <c r="D27" s="536"/>
      <c r="E27" s="507"/>
      <c r="F27" s="510"/>
      <c r="G27" s="507">
        <f t="shared" si="2"/>
        <v>0</v>
      </c>
      <c r="H27" s="509" t="e">
        <f t="shared" si="0"/>
        <v>#DIV/0!</v>
      </c>
      <c r="I27" s="350" t="s">
        <v>241</v>
      </c>
      <c r="J27" s="30">
        <f>+P26</f>
        <v>35019000</v>
      </c>
      <c r="K27" s="29" t="s">
        <v>146</v>
      </c>
      <c r="L27" s="46" t="s">
        <v>121</v>
      </c>
      <c r="M27" s="506">
        <v>0.12809999999999999</v>
      </c>
      <c r="N27" s="506"/>
      <c r="O27" s="381" t="s">
        <v>136</v>
      </c>
      <c r="P27" s="30">
        <f>ROUNDUP(SUM(J27*M27),-3)</f>
        <v>4486000</v>
      </c>
      <c r="Q27" s="47" t="s">
        <v>146</v>
      </c>
      <c r="AC27" s="172">
        <f>AC26*12.81%</f>
        <v>1030794.5033683542</v>
      </c>
      <c r="AD27" s="30"/>
      <c r="AE27" s="136"/>
      <c r="AF27" s="136"/>
    </row>
    <row r="28" spans="1:32" s="29" customFormat="1" ht="15.95" customHeight="1">
      <c r="A28" s="38"/>
      <c r="B28" s="326"/>
      <c r="C28" s="579"/>
      <c r="D28" s="536"/>
      <c r="E28" s="507"/>
      <c r="F28" s="510"/>
      <c r="G28" s="507">
        <f t="shared" si="2"/>
        <v>0</v>
      </c>
      <c r="H28" s="509" t="e">
        <f t="shared" si="0"/>
        <v>#DIV/0!</v>
      </c>
      <c r="I28" s="350" t="s">
        <v>232</v>
      </c>
      <c r="J28" s="30">
        <f>SUM(P8,P75,P13)-P12--P18-4000000</f>
        <v>797045799.7099998</v>
      </c>
      <c r="K28" s="29" t="s">
        <v>146</v>
      </c>
      <c r="L28" s="46" t="s">
        <v>121</v>
      </c>
      <c r="M28" s="506">
        <v>1.55E-2</v>
      </c>
      <c r="N28" s="506"/>
      <c r="O28" s="381" t="s">
        <v>136</v>
      </c>
      <c r="P28" s="30">
        <f>ROUNDUP(SUM(J28*M28),-3)</f>
        <v>12355000</v>
      </c>
      <c r="Q28" s="47" t="s">
        <v>146</v>
      </c>
      <c r="AC28" s="171">
        <f>SUM(AC25:AC27)</f>
        <v>19292140.000150353</v>
      </c>
      <c r="AD28" s="30"/>
      <c r="AE28" s="136"/>
      <c r="AF28" s="136"/>
    </row>
    <row r="29" spans="1:32" s="29" customFormat="1" ht="15.95" customHeight="1">
      <c r="A29" s="38"/>
      <c r="B29" s="326"/>
      <c r="C29" s="579"/>
      <c r="D29" s="536"/>
      <c r="E29" s="507"/>
      <c r="F29" s="510"/>
      <c r="G29" s="507">
        <f t="shared" si="2"/>
        <v>0</v>
      </c>
      <c r="H29" s="509" t="e">
        <f t="shared" si="0"/>
        <v>#DIV/0!</v>
      </c>
      <c r="I29" s="173" t="s">
        <v>205</v>
      </c>
      <c r="J29" s="50">
        <f>J28</f>
        <v>797045799.7099998</v>
      </c>
      <c r="K29" s="174" t="s">
        <v>146</v>
      </c>
      <c r="L29" s="69" t="s">
        <v>121</v>
      </c>
      <c r="M29" s="505">
        <v>7.6E-3</v>
      </c>
      <c r="N29" s="505"/>
      <c r="O29" s="380" t="s">
        <v>136</v>
      </c>
      <c r="P29" s="30">
        <f>ROUNDUP(SUM(J29*M29),-3)</f>
        <v>6058000</v>
      </c>
      <c r="Q29" s="71" t="s">
        <v>146</v>
      </c>
      <c r="AD29" s="30"/>
      <c r="AE29" s="136"/>
      <c r="AF29" s="136"/>
    </row>
    <row r="30" spans="1:32" s="29" customFormat="1" ht="15.95" customHeight="1">
      <c r="A30" s="38" t="s">
        <v>158</v>
      </c>
      <c r="B30" s="326"/>
      <c r="C30" s="486" t="s">
        <v>310</v>
      </c>
      <c r="D30" s="489">
        <v>400</v>
      </c>
      <c r="E30" s="480">
        <f>+P30/1000</f>
        <v>400</v>
      </c>
      <c r="F30" s="510">
        <v>24295</v>
      </c>
      <c r="G30" s="480">
        <f t="shared" si="2"/>
        <v>0</v>
      </c>
      <c r="H30" s="495">
        <f t="shared" si="0"/>
        <v>0</v>
      </c>
      <c r="I30" s="170"/>
      <c r="J30" s="42"/>
      <c r="K30" s="86"/>
      <c r="L30" s="330"/>
      <c r="M30" s="330" t="s">
        <v>159</v>
      </c>
      <c r="N30" s="330"/>
      <c r="O30" s="330"/>
      <c r="P30" s="42">
        <f>SUM(P31:P31)</f>
        <v>400000</v>
      </c>
      <c r="Q30" s="37" t="s">
        <v>146</v>
      </c>
      <c r="AD30" s="30"/>
      <c r="AE30" s="136"/>
      <c r="AF30" s="136"/>
    </row>
    <row r="31" spans="1:32" s="29" customFormat="1" ht="15.95" customHeight="1">
      <c r="A31" s="38"/>
      <c r="B31" s="326"/>
      <c r="C31" s="487"/>
      <c r="D31" s="490"/>
      <c r="E31" s="481"/>
      <c r="F31" s="519"/>
      <c r="G31" s="481"/>
      <c r="H31" s="496"/>
      <c r="I31" s="175" t="s">
        <v>431</v>
      </c>
      <c r="J31" s="30">
        <v>200000</v>
      </c>
      <c r="K31" s="29" t="s">
        <v>146</v>
      </c>
      <c r="L31" s="46" t="s">
        <v>121</v>
      </c>
      <c r="M31" s="381">
        <v>2</v>
      </c>
      <c r="N31" s="381" t="s">
        <v>124</v>
      </c>
      <c r="O31" s="53" t="s">
        <v>136</v>
      </c>
      <c r="P31" s="30">
        <f>+J31*M31</f>
        <v>400000</v>
      </c>
      <c r="Q31" s="47" t="s">
        <v>146</v>
      </c>
      <c r="AD31" s="30"/>
      <c r="AE31" s="136"/>
      <c r="AF31" s="136"/>
    </row>
    <row r="32" spans="1:32" s="29" customFormat="1" ht="20.100000000000001" customHeight="1">
      <c r="A32" s="19" t="s">
        <v>130</v>
      </c>
      <c r="B32" s="315" t="s">
        <v>135</v>
      </c>
      <c r="C32" s="316" t="s">
        <v>166</v>
      </c>
      <c r="D32" s="317">
        <f>SUM(D33,D38,D40)</f>
        <v>19160</v>
      </c>
      <c r="E32" s="318">
        <f>SUM(E33:E45)</f>
        <v>19160</v>
      </c>
      <c r="F32" s="319">
        <f>SUM(F33,F40)</f>
        <v>12549</v>
      </c>
      <c r="G32" s="318">
        <f>+E32-D32</f>
        <v>0</v>
      </c>
      <c r="H32" s="320">
        <f t="shared" si="0"/>
        <v>0</v>
      </c>
      <c r="I32" s="321"/>
      <c r="J32" s="42"/>
      <c r="K32" s="86"/>
      <c r="L32" s="330"/>
      <c r="M32" s="330"/>
      <c r="N32" s="330"/>
      <c r="O32" s="330"/>
      <c r="P32" s="42">
        <f>SUM(P33,P38,P40)</f>
        <v>19160000</v>
      </c>
      <c r="Q32" s="37" t="s">
        <v>146</v>
      </c>
      <c r="AD32" s="30"/>
      <c r="AE32" s="136"/>
      <c r="AF32" s="136"/>
    </row>
    <row r="33" spans="1:32" s="29" customFormat="1" ht="15.95" customHeight="1">
      <c r="A33" s="38"/>
      <c r="B33" s="343" t="s">
        <v>141</v>
      </c>
      <c r="C33" s="486" t="s">
        <v>339</v>
      </c>
      <c r="D33" s="489">
        <v>2900</v>
      </c>
      <c r="E33" s="480">
        <f>+P33/1000</f>
        <v>2900</v>
      </c>
      <c r="F33" s="519">
        <v>9823</v>
      </c>
      <c r="G33" s="480">
        <f>+E33-D33</f>
        <v>0</v>
      </c>
      <c r="H33" s="483">
        <f t="shared" si="0"/>
        <v>0</v>
      </c>
      <c r="I33" s="177"/>
      <c r="J33" s="42"/>
      <c r="K33" s="86"/>
      <c r="L33" s="330"/>
      <c r="M33" s="420" t="s">
        <v>159</v>
      </c>
      <c r="N33" s="420"/>
      <c r="O33" s="420"/>
      <c r="P33" s="42">
        <f>SUM(P34:P37)</f>
        <v>2900000</v>
      </c>
      <c r="Q33" s="37" t="s">
        <v>146</v>
      </c>
      <c r="AD33" s="30"/>
      <c r="AE33" s="136"/>
      <c r="AF33" s="136"/>
    </row>
    <row r="34" spans="1:32" s="29" customFormat="1" ht="15.95" customHeight="1">
      <c r="A34" s="38"/>
      <c r="B34" s="326"/>
      <c r="C34" s="487"/>
      <c r="D34" s="490"/>
      <c r="E34" s="481"/>
      <c r="F34" s="520"/>
      <c r="G34" s="481"/>
      <c r="H34" s="484"/>
      <c r="I34" s="351" t="s">
        <v>330</v>
      </c>
      <c r="J34" s="30">
        <v>70000</v>
      </c>
      <c r="K34" s="29" t="s">
        <v>146</v>
      </c>
      <c r="L34" s="46" t="s">
        <v>121</v>
      </c>
      <c r="M34" s="381">
        <v>10</v>
      </c>
      <c r="N34" s="381" t="s">
        <v>124</v>
      </c>
      <c r="O34" s="53" t="s">
        <v>136</v>
      </c>
      <c r="P34" s="30">
        <f>SUM(J34*M34)</f>
        <v>700000</v>
      </c>
      <c r="Q34" s="47" t="s">
        <v>146</v>
      </c>
      <c r="AD34" s="30"/>
      <c r="AE34" s="136"/>
      <c r="AF34" s="136"/>
    </row>
    <row r="35" spans="1:32" s="29" customFormat="1" ht="15.95" customHeight="1">
      <c r="A35" s="38"/>
      <c r="B35" s="326"/>
      <c r="C35" s="487"/>
      <c r="D35" s="490"/>
      <c r="E35" s="481"/>
      <c r="F35" s="522"/>
      <c r="G35" s="481"/>
      <c r="H35" s="484"/>
      <c r="I35" s="350" t="s">
        <v>194</v>
      </c>
      <c r="J35" s="30">
        <v>20000</v>
      </c>
      <c r="K35" s="29" t="s">
        <v>146</v>
      </c>
      <c r="L35" s="46" t="s">
        <v>121</v>
      </c>
      <c r="M35" s="381">
        <v>5</v>
      </c>
      <c r="N35" s="381" t="s">
        <v>124</v>
      </c>
      <c r="O35" s="53" t="s">
        <v>136</v>
      </c>
      <c r="P35" s="30">
        <f>SUM(J35*M35)</f>
        <v>100000</v>
      </c>
      <c r="Q35" s="47" t="s">
        <v>146</v>
      </c>
      <c r="AD35" s="30"/>
      <c r="AE35" s="136"/>
      <c r="AF35" s="136"/>
    </row>
    <row r="36" spans="1:32" s="29" customFormat="1" ht="15.95" customHeight="1">
      <c r="A36" s="178"/>
      <c r="B36" s="326"/>
      <c r="C36" s="487"/>
      <c r="D36" s="490"/>
      <c r="E36" s="481"/>
      <c r="F36" s="362"/>
      <c r="G36" s="481"/>
      <c r="H36" s="484"/>
      <c r="I36" s="350" t="s">
        <v>446</v>
      </c>
      <c r="J36" s="30">
        <v>100000</v>
      </c>
      <c r="K36" s="29" t="s">
        <v>146</v>
      </c>
      <c r="L36" s="46" t="s">
        <v>121</v>
      </c>
      <c r="M36" s="381">
        <v>15</v>
      </c>
      <c r="N36" s="381" t="s">
        <v>124</v>
      </c>
      <c r="O36" s="53" t="s">
        <v>136</v>
      </c>
      <c r="P36" s="30">
        <f>SUM(J36*M36)</f>
        <v>1500000</v>
      </c>
      <c r="Q36" s="47" t="s">
        <v>146</v>
      </c>
      <c r="AD36" s="30"/>
      <c r="AE36" s="136"/>
      <c r="AF36" s="136"/>
    </row>
    <row r="37" spans="1:32" s="29" customFormat="1" ht="15.95" customHeight="1">
      <c r="A37" s="178"/>
      <c r="B37" s="326"/>
      <c r="C37" s="488"/>
      <c r="D37" s="491"/>
      <c r="E37" s="482"/>
      <c r="F37" s="362"/>
      <c r="G37" s="482"/>
      <c r="H37" s="485"/>
      <c r="I37" s="173" t="s">
        <v>429</v>
      </c>
      <c r="J37" s="50">
        <v>300000</v>
      </c>
      <c r="K37" s="174" t="s">
        <v>146</v>
      </c>
      <c r="L37" s="69" t="s">
        <v>121</v>
      </c>
      <c r="M37" s="380">
        <v>2</v>
      </c>
      <c r="N37" s="380" t="s">
        <v>124</v>
      </c>
      <c r="O37" s="70" t="s">
        <v>136</v>
      </c>
      <c r="P37" s="50">
        <f>+J37*M37</f>
        <v>600000</v>
      </c>
      <c r="Q37" s="71" t="s">
        <v>146</v>
      </c>
      <c r="AD37" s="30"/>
      <c r="AE37" s="136"/>
      <c r="AF37" s="136"/>
    </row>
    <row r="38" spans="1:32" s="29" customFormat="1" ht="15.95" customHeight="1">
      <c r="A38" s="179"/>
      <c r="B38" s="343"/>
      <c r="C38" s="486" t="s">
        <v>323</v>
      </c>
      <c r="D38" s="489">
        <v>3600</v>
      </c>
      <c r="E38" s="480">
        <f>P38/1000</f>
        <v>1800</v>
      </c>
      <c r="F38" s="361"/>
      <c r="G38" s="480">
        <f>E38-D38</f>
        <v>-1800</v>
      </c>
      <c r="H38" s="495">
        <f>G38/D38*100</f>
        <v>-50</v>
      </c>
      <c r="I38" s="180"/>
      <c r="J38" s="42"/>
      <c r="K38" s="86"/>
      <c r="L38" s="330"/>
      <c r="M38" s="420" t="s">
        <v>159</v>
      </c>
      <c r="N38" s="420"/>
      <c r="O38" s="420"/>
      <c r="P38" s="42">
        <f>SUM(P39:P39)</f>
        <v>1800000</v>
      </c>
      <c r="Q38" s="37" t="s">
        <v>146</v>
      </c>
      <c r="AD38" s="30"/>
      <c r="AE38" s="136"/>
      <c r="AF38" s="136"/>
    </row>
    <row r="39" spans="1:32" s="29" customFormat="1" ht="15.95" customHeight="1">
      <c r="A39" s="38"/>
      <c r="B39" s="343"/>
      <c r="C39" s="487"/>
      <c r="D39" s="490"/>
      <c r="E39" s="481"/>
      <c r="F39" s="362"/>
      <c r="G39" s="481"/>
      <c r="H39" s="496"/>
      <c r="I39" s="351" t="s">
        <v>449</v>
      </c>
      <c r="J39" s="30">
        <v>300000</v>
      </c>
      <c r="K39" s="29" t="s">
        <v>146</v>
      </c>
      <c r="L39" s="46" t="s">
        <v>121</v>
      </c>
      <c r="M39" s="381">
        <v>6</v>
      </c>
      <c r="N39" s="381" t="s">
        <v>124</v>
      </c>
      <c r="O39" s="53" t="s">
        <v>136</v>
      </c>
      <c r="P39" s="30">
        <f>SUM(J39*M39)</f>
        <v>1800000</v>
      </c>
      <c r="Q39" s="47" t="s">
        <v>146</v>
      </c>
      <c r="AD39" s="30"/>
      <c r="AE39" s="136"/>
      <c r="AF39" s="136"/>
    </row>
    <row r="40" spans="1:32" s="29" customFormat="1" ht="15.95" customHeight="1">
      <c r="A40" s="38"/>
      <c r="B40" s="326"/>
      <c r="C40" s="551" t="s">
        <v>127</v>
      </c>
      <c r="D40" s="489">
        <v>12660</v>
      </c>
      <c r="E40" s="480">
        <f>+P40/1000</f>
        <v>14460</v>
      </c>
      <c r="F40" s="519">
        <v>2726</v>
      </c>
      <c r="G40" s="480">
        <f>+E40-D40</f>
        <v>1800</v>
      </c>
      <c r="H40" s="495">
        <f>+G40/D40*100</f>
        <v>14.218009478672986</v>
      </c>
      <c r="I40" s="177"/>
      <c r="J40" s="42"/>
      <c r="K40" s="86"/>
      <c r="L40" s="330"/>
      <c r="M40" s="420" t="s">
        <v>159</v>
      </c>
      <c r="N40" s="420"/>
      <c r="O40" s="420"/>
      <c r="P40" s="42">
        <f>SUM(P41:P45)</f>
        <v>14460000</v>
      </c>
      <c r="Q40" s="37" t="s">
        <v>146</v>
      </c>
      <c r="AD40" s="30"/>
      <c r="AE40" s="136"/>
      <c r="AF40" s="136"/>
    </row>
    <row r="41" spans="1:32" s="29" customFormat="1" ht="15.95" customHeight="1">
      <c r="A41" s="38"/>
      <c r="B41" s="326"/>
      <c r="C41" s="528"/>
      <c r="D41" s="490"/>
      <c r="E41" s="481"/>
      <c r="F41" s="520"/>
      <c r="G41" s="481">
        <f>+E41-D41</f>
        <v>0</v>
      </c>
      <c r="H41" s="496" t="e">
        <f>+G41/D41*100</f>
        <v>#DIV/0!</v>
      </c>
      <c r="I41" s="351" t="s">
        <v>97</v>
      </c>
      <c r="J41" s="30">
        <v>480000</v>
      </c>
      <c r="K41" s="29" t="s">
        <v>146</v>
      </c>
      <c r="L41" s="46" t="s">
        <v>121</v>
      </c>
      <c r="M41" s="381">
        <v>2</v>
      </c>
      <c r="N41" s="381" t="s">
        <v>124</v>
      </c>
      <c r="O41" s="53" t="s">
        <v>136</v>
      </c>
      <c r="P41" s="30">
        <f>SUM(J41*M41)</f>
        <v>960000</v>
      </c>
      <c r="Q41" s="47" t="s">
        <v>146</v>
      </c>
      <c r="AD41" s="30"/>
      <c r="AE41" s="136"/>
      <c r="AF41" s="136"/>
    </row>
    <row r="42" spans="1:32" s="29" customFormat="1" ht="15.95" customHeight="1">
      <c r="A42" s="38"/>
      <c r="B42" s="326"/>
      <c r="C42" s="528"/>
      <c r="D42" s="490"/>
      <c r="E42" s="481"/>
      <c r="F42" s="520"/>
      <c r="G42" s="481"/>
      <c r="H42" s="496"/>
      <c r="I42" s="351" t="s">
        <v>349</v>
      </c>
      <c r="J42" s="30">
        <v>1750000</v>
      </c>
      <c r="K42" s="29" t="s">
        <v>146</v>
      </c>
      <c r="L42" s="46" t="s">
        <v>121</v>
      </c>
      <c r="M42" s="381">
        <v>4</v>
      </c>
      <c r="N42" s="381" t="s">
        <v>124</v>
      </c>
      <c r="O42" s="53" t="s">
        <v>136</v>
      </c>
      <c r="P42" s="30">
        <f>SUM(J42*M42)</f>
        <v>7000000</v>
      </c>
      <c r="Q42" s="47" t="s">
        <v>146</v>
      </c>
      <c r="AD42" s="30"/>
      <c r="AE42" s="136"/>
      <c r="AF42" s="136"/>
    </row>
    <row r="43" spans="1:32" s="29" customFormat="1" ht="15.95" customHeight="1">
      <c r="A43" s="38"/>
      <c r="B43" s="326"/>
      <c r="C43" s="528"/>
      <c r="D43" s="490"/>
      <c r="E43" s="481"/>
      <c r="F43" s="520"/>
      <c r="G43" s="481">
        <f>+E43-D43</f>
        <v>0</v>
      </c>
      <c r="H43" s="496" t="e">
        <f t="shared" ref="H43:H53" si="3">+G43/D43*100</f>
        <v>#DIV/0!</v>
      </c>
      <c r="I43" s="351" t="s">
        <v>89</v>
      </c>
      <c r="J43" s="30">
        <v>540000</v>
      </c>
      <c r="K43" s="29" t="s">
        <v>146</v>
      </c>
      <c r="L43" s="46" t="s">
        <v>121</v>
      </c>
      <c r="M43" s="381">
        <v>10</v>
      </c>
      <c r="N43" s="381" t="s">
        <v>124</v>
      </c>
      <c r="O43" s="53" t="s">
        <v>136</v>
      </c>
      <c r="P43" s="30">
        <f>SUM(J43*M43)</f>
        <v>5400000</v>
      </c>
      <c r="Q43" s="47" t="s">
        <v>146</v>
      </c>
      <c r="AD43" s="30"/>
      <c r="AE43" s="136"/>
      <c r="AF43" s="136"/>
    </row>
    <row r="44" spans="1:32" s="29" customFormat="1" ht="15.95" customHeight="1">
      <c r="A44" s="38"/>
      <c r="B44" s="326"/>
      <c r="C44" s="528"/>
      <c r="D44" s="490"/>
      <c r="E44" s="481"/>
      <c r="F44" s="520"/>
      <c r="G44" s="481"/>
      <c r="H44" s="496"/>
      <c r="I44" s="351" t="s">
        <v>5</v>
      </c>
      <c r="J44" s="30">
        <v>100000</v>
      </c>
      <c r="K44" s="29" t="s">
        <v>146</v>
      </c>
      <c r="L44" s="46" t="s">
        <v>121</v>
      </c>
      <c r="M44" s="381">
        <v>3</v>
      </c>
      <c r="N44" s="381" t="s">
        <v>124</v>
      </c>
      <c r="O44" s="53" t="s">
        <v>136</v>
      </c>
      <c r="P44" s="30">
        <f>SUM(J44*M44)</f>
        <v>300000</v>
      </c>
      <c r="Q44" s="47" t="s">
        <v>146</v>
      </c>
      <c r="AD44" s="30"/>
      <c r="AE44" s="136"/>
      <c r="AF44" s="136"/>
    </row>
    <row r="45" spans="1:32" s="29" customFormat="1" ht="15.95" customHeight="1">
      <c r="A45" s="38"/>
      <c r="B45" s="326"/>
      <c r="C45" s="528"/>
      <c r="D45" s="490"/>
      <c r="E45" s="481"/>
      <c r="F45" s="522"/>
      <c r="G45" s="481">
        <f>+E45-D45</f>
        <v>0</v>
      </c>
      <c r="H45" s="496" t="e">
        <f t="shared" si="3"/>
        <v>#DIV/0!</v>
      </c>
      <c r="I45" s="351" t="s">
        <v>371</v>
      </c>
      <c r="J45" s="30">
        <v>100000</v>
      </c>
      <c r="K45" s="29" t="s">
        <v>146</v>
      </c>
      <c r="L45" s="46" t="s">
        <v>121</v>
      </c>
      <c r="M45" s="381">
        <v>8</v>
      </c>
      <c r="N45" s="381" t="s">
        <v>124</v>
      </c>
      <c r="O45" s="53" t="s">
        <v>136</v>
      </c>
      <c r="P45" s="30">
        <f>SUM(J45*M45)</f>
        <v>800000</v>
      </c>
      <c r="Q45" s="47" t="s">
        <v>146</v>
      </c>
      <c r="AD45" s="30"/>
      <c r="AE45" s="136"/>
      <c r="AF45" s="136"/>
    </row>
    <row r="46" spans="1:32" s="29" customFormat="1" ht="20.100000000000001" customHeight="1">
      <c r="A46" s="38"/>
      <c r="B46" s="109" t="s">
        <v>145</v>
      </c>
      <c r="C46" s="181" t="s">
        <v>166</v>
      </c>
      <c r="D46" s="182">
        <f>SUM(D47:D59,D60:D76)</f>
        <v>415939</v>
      </c>
      <c r="E46" s="184">
        <f>SUM(E47:E76)</f>
        <v>406389.199945</v>
      </c>
      <c r="F46" s="183">
        <f>SUM(F47:F59,F60:F76)</f>
        <v>274672</v>
      </c>
      <c r="G46" s="184">
        <f>E46-D46</f>
        <v>-9549.8000549999997</v>
      </c>
      <c r="H46" s="185">
        <f t="shared" si="3"/>
        <v>-2.2959616806791381</v>
      </c>
      <c r="I46" s="177"/>
      <c r="J46" s="42"/>
      <c r="K46" s="86"/>
      <c r="L46" s="86"/>
      <c r="M46" s="86"/>
      <c r="N46" s="86"/>
      <c r="O46" s="86"/>
      <c r="P46" s="36">
        <f>SUM(P47,P49,P56,P60,P68,P65)</f>
        <v>406389199.94499999</v>
      </c>
      <c r="Q46" s="37" t="s">
        <v>146</v>
      </c>
      <c r="AD46" s="30"/>
      <c r="AE46" s="136"/>
      <c r="AF46" s="136"/>
    </row>
    <row r="47" spans="1:32" s="29" customFormat="1" ht="15.95" customHeight="1">
      <c r="A47" s="38"/>
      <c r="B47" s="326"/>
      <c r="C47" s="551" t="s">
        <v>170</v>
      </c>
      <c r="D47" s="489">
        <v>200</v>
      </c>
      <c r="E47" s="480">
        <f>+P47/1000</f>
        <v>200</v>
      </c>
      <c r="F47" s="519">
        <v>107</v>
      </c>
      <c r="G47" s="480">
        <f>+E47-D47</f>
        <v>0</v>
      </c>
      <c r="H47" s="495">
        <f t="shared" si="3"/>
        <v>0</v>
      </c>
      <c r="I47" s="177"/>
      <c r="J47" s="42"/>
      <c r="K47" s="86"/>
      <c r="L47" s="330"/>
      <c r="M47" s="330" t="s">
        <v>159</v>
      </c>
      <c r="N47" s="330"/>
      <c r="O47" s="330"/>
      <c r="P47" s="42">
        <f>SUM(P48)</f>
        <v>200000</v>
      </c>
      <c r="Q47" s="37" t="s">
        <v>146</v>
      </c>
      <c r="AD47" s="30"/>
      <c r="AE47" s="136"/>
      <c r="AF47" s="136"/>
    </row>
    <row r="48" spans="1:32" s="29" customFormat="1" ht="15.95" customHeight="1">
      <c r="A48" s="38"/>
      <c r="B48" s="186"/>
      <c r="C48" s="529"/>
      <c r="D48" s="491"/>
      <c r="E48" s="482"/>
      <c r="F48" s="522"/>
      <c r="G48" s="482">
        <f>+E48-D48</f>
        <v>0</v>
      </c>
      <c r="H48" s="497" t="e">
        <f t="shared" si="3"/>
        <v>#DIV/0!</v>
      </c>
      <c r="I48" s="187" t="s">
        <v>278</v>
      </c>
      <c r="J48" s="50">
        <v>50000</v>
      </c>
      <c r="K48" s="174" t="s">
        <v>146</v>
      </c>
      <c r="L48" s="69" t="s">
        <v>121</v>
      </c>
      <c r="M48" s="380">
        <v>4</v>
      </c>
      <c r="N48" s="380" t="s">
        <v>124</v>
      </c>
      <c r="O48" s="70" t="s">
        <v>136</v>
      </c>
      <c r="P48" s="50">
        <f>SUM(J48*M48)</f>
        <v>200000</v>
      </c>
      <c r="Q48" s="71" t="s">
        <v>146</v>
      </c>
      <c r="AD48" s="30"/>
      <c r="AE48" s="136"/>
      <c r="AF48" s="136"/>
    </row>
    <row r="49" spans="1:32" s="29" customFormat="1" ht="15.95" customHeight="1">
      <c r="A49" s="38"/>
      <c r="B49" s="326"/>
      <c r="C49" s="530" t="s">
        <v>36</v>
      </c>
      <c r="D49" s="489">
        <v>205450</v>
      </c>
      <c r="E49" s="480">
        <f>+P49/1000</f>
        <v>207610</v>
      </c>
      <c r="F49" s="519">
        <v>27504</v>
      </c>
      <c r="G49" s="480">
        <f>+E49-D49</f>
        <v>2160</v>
      </c>
      <c r="H49" s="495">
        <f t="shared" si="3"/>
        <v>1.0513506935994159</v>
      </c>
      <c r="I49" s="177"/>
      <c r="J49" s="42"/>
      <c r="K49" s="86"/>
      <c r="L49" s="86"/>
      <c r="M49" s="420" t="s">
        <v>159</v>
      </c>
      <c r="N49" s="420"/>
      <c r="O49" s="420"/>
      <c r="P49" s="36">
        <f>SUM(P50:P55)</f>
        <v>207610000</v>
      </c>
      <c r="Q49" s="37" t="s">
        <v>146</v>
      </c>
      <c r="AD49" s="30"/>
      <c r="AE49" s="136"/>
      <c r="AF49" s="136"/>
    </row>
    <row r="50" spans="1:32" s="29" customFormat="1" ht="15.95" customHeight="1">
      <c r="A50" s="38"/>
      <c r="B50" s="326"/>
      <c r="C50" s="531"/>
      <c r="D50" s="490"/>
      <c r="E50" s="481"/>
      <c r="F50" s="520"/>
      <c r="G50" s="481"/>
      <c r="H50" s="496"/>
      <c r="I50" s="351" t="s">
        <v>364</v>
      </c>
      <c r="J50" s="30">
        <v>13415000</v>
      </c>
      <c r="K50" s="29" t="s">
        <v>129</v>
      </c>
      <c r="L50" s="381" t="s">
        <v>121</v>
      </c>
      <c r="M50" s="381">
        <v>12</v>
      </c>
      <c r="N50" s="381" t="s">
        <v>129</v>
      </c>
      <c r="O50" s="381" t="s">
        <v>138</v>
      </c>
      <c r="P50" s="64">
        <f>J50*M50</f>
        <v>160980000</v>
      </c>
      <c r="Q50" s="47" t="s">
        <v>146</v>
      </c>
      <c r="AD50" s="30"/>
      <c r="AE50" s="136"/>
      <c r="AF50" s="136"/>
    </row>
    <row r="51" spans="1:32" s="29" customFormat="1" ht="15.95" customHeight="1">
      <c r="A51" s="38"/>
      <c r="B51" s="326"/>
      <c r="C51" s="528"/>
      <c r="D51" s="490"/>
      <c r="E51" s="481"/>
      <c r="F51" s="520"/>
      <c r="G51" s="481">
        <f>+E51-D51</f>
        <v>0</v>
      </c>
      <c r="H51" s="496" t="e">
        <f t="shared" si="3"/>
        <v>#DIV/0!</v>
      </c>
      <c r="I51" s="351" t="s">
        <v>87</v>
      </c>
      <c r="J51" s="30">
        <v>2035000</v>
      </c>
      <c r="K51" s="29" t="s">
        <v>146</v>
      </c>
      <c r="L51" s="46" t="s">
        <v>121</v>
      </c>
      <c r="M51" s="381">
        <v>2</v>
      </c>
      <c r="N51" s="381" t="s">
        <v>124</v>
      </c>
      <c r="O51" s="53" t="s">
        <v>136</v>
      </c>
      <c r="P51" s="30">
        <f>SUM(J51*M51)</f>
        <v>4070000</v>
      </c>
      <c r="Q51" s="47" t="s">
        <v>146</v>
      </c>
      <c r="AD51" s="30"/>
      <c r="AE51" s="136"/>
      <c r="AF51" s="136"/>
    </row>
    <row r="52" spans="1:32" s="29" customFormat="1" ht="15.95" customHeight="1">
      <c r="A52" s="38"/>
      <c r="B52" s="326"/>
      <c r="C52" s="528"/>
      <c r="D52" s="490"/>
      <c r="E52" s="481"/>
      <c r="F52" s="520"/>
      <c r="G52" s="481"/>
      <c r="H52" s="496"/>
      <c r="I52" s="351" t="s">
        <v>376</v>
      </c>
      <c r="J52" s="30">
        <v>2875000</v>
      </c>
      <c r="K52" s="29" t="s">
        <v>146</v>
      </c>
      <c r="L52" s="46" t="s">
        <v>121</v>
      </c>
      <c r="M52" s="381">
        <v>8</v>
      </c>
      <c r="N52" s="381" t="s">
        <v>124</v>
      </c>
      <c r="O52" s="53" t="s">
        <v>136</v>
      </c>
      <c r="P52" s="30">
        <f>SUM(J52*M52)</f>
        <v>23000000</v>
      </c>
      <c r="Q52" s="47" t="s">
        <v>146</v>
      </c>
      <c r="AD52" s="30"/>
      <c r="AE52" s="136"/>
      <c r="AF52" s="136"/>
    </row>
    <row r="53" spans="1:32" s="29" customFormat="1" ht="15.95" customHeight="1">
      <c r="A53" s="38"/>
      <c r="B53" s="326"/>
      <c r="C53" s="528"/>
      <c r="D53" s="490"/>
      <c r="E53" s="481"/>
      <c r="F53" s="520"/>
      <c r="G53" s="481">
        <f>+E53-D53</f>
        <v>0</v>
      </c>
      <c r="H53" s="496" t="e">
        <f t="shared" si="3"/>
        <v>#DIV/0!</v>
      </c>
      <c r="I53" s="351" t="s">
        <v>337</v>
      </c>
      <c r="J53" s="30">
        <v>930000</v>
      </c>
      <c r="K53" s="29" t="s">
        <v>146</v>
      </c>
      <c r="L53" s="46" t="s">
        <v>121</v>
      </c>
      <c r="M53" s="381">
        <v>12</v>
      </c>
      <c r="N53" s="381" t="s">
        <v>129</v>
      </c>
      <c r="O53" s="53" t="s">
        <v>136</v>
      </c>
      <c r="P53" s="30">
        <f>SUM(J53*M53)</f>
        <v>11160000</v>
      </c>
      <c r="Q53" s="47" t="s">
        <v>146</v>
      </c>
      <c r="AD53" s="30"/>
      <c r="AE53" s="136"/>
      <c r="AF53" s="136"/>
    </row>
    <row r="54" spans="1:32" s="29" customFormat="1" ht="15.95" customHeight="1">
      <c r="A54" s="38"/>
      <c r="B54" s="326"/>
      <c r="C54" s="528"/>
      <c r="D54" s="490"/>
      <c r="E54" s="481"/>
      <c r="F54" s="520"/>
      <c r="G54" s="481"/>
      <c r="H54" s="496"/>
      <c r="I54" s="351" t="s">
        <v>208</v>
      </c>
      <c r="J54" s="30">
        <v>300000</v>
      </c>
      <c r="K54" s="29" t="s">
        <v>146</v>
      </c>
      <c r="L54" s="46" t="s">
        <v>121</v>
      </c>
      <c r="M54" s="381">
        <v>12</v>
      </c>
      <c r="N54" s="381" t="s">
        <v>129</v>
      </c>
      <c r="O54" s="53" t="s">
        <v>136</v>
      </c>
      <c r="P54" s="30">
        <f>SUM(J54*M54)</f>
        <v>3600000</v>
      </c>
      <c r="Q54" s="47" t="s">
        <v>146</v>
      </c>
      <c r="AD54" s="30"/>
      <c r="AE54" s="136"/>
      <c r="AF54" s="136"/>
    </row>
    <row r="55" spans="1:32" s="29" customFormat="1" ht="15.95" customHeight="1">
      <c r="A55" s="38"/>
      <c r="B55" s="326"/>
      <c r="C55" s="529"/>
      <c r="D55" s="491"/>
      <c r="E55" s="482"/>
      <c r="F55" s="522"/>
      <c r="G55" s="482">
        <f t="shared" ref="G55:G60" si="4">+E55-D55</f>
        <v>0</v>
      </c>
      <c r="H55" s="497" t="e">
        <f t="shared" ref="H55:H68" si="5">+G55/D55*100</f>
        <v>#DIV/0!</v>
      </c>
      <c r="I55" s="187" t="s">
        <v>192</v>
      </c>
      <c r="J55" s="50">
        <v>400000</v>
      </c>
      <c r="K55" s="174" t="s">
        <v>146</v>
      </c>
      <c r="L55" s="69" t="s">
        <v>121</v>
      </c>
      <c r="M55" s="380">
        <v>12</v>
      </c>
      <c r="N55" s="380" t="s">
        <v>129</v>
      </c>
      <c r="O55" s="70" t="s">
        <v>136</v>
      </c>
      <c r="P55" s="50">
        <f>SUM(J55*M55)</f>
        <v>4800000</v>
      </c>
      <c r="Q55" s="71" t="s">
        <v>146</v>
      </c>
      <c r="AD55" s="30"/>
      <c r="AE55" s="136"/>
      <c r="AF55" s="136"/>
    </row>
    <row r="56" spans="1:32" s="29" customFormat="1" ht="15.95" customHeight="1">
      <c r="A56" s="38"/>
      <c r="B56" s="326"/>
      <c r="C56" s="528" t="s">
        <v>207</v>
      </c>
      <c r="D56" s="490">
        <v>8220</v>
      </c>
      <c r="E56" s="481">
        <f>P56/1000</f>
        <v>8220</v>
      </c>
      <c r="F56" s="520">
        <v>9102</v>
      </c>
      <c r="G56" s="481">
        <f t="shared" si="4"/>
        <v>0</v>
      </c>
      <c r="H56" s="496">
        <f t="shared" si="5"/>
        <v>0</v>
      </c>
      <c r="I56" s="351"/>
      <c r="J56" s="30"/>
      <c r="M56" s="565" t="s">
        <v>159</v>
      </c>
      <c r="N56" s="565"/>
      <c r="O56" s="565"/>
      <c r="P56" s="64">
        <f>SUM(P57:P59)</f>
        <v>8220000</v>
      </c>
      <c r="Q56" s="47" t="s">
        <v>146</v>
      </c>
      <c r="AD56" s="30"/>
      <c r="AE56" s="136"/>
      <c r="AF56" s="136"/>
    </row>
    <row r="57" spans="1:32" s="29" customFormat="1" ht="15.95" customHeight="1">
      <c r="A57" s="38"/>
      <c r="B57" s="326"/>
      <c r="C57" s="528"/>
      <c r="D57" s="490"/>
      <c r="E57" s="481"/>
      <c r="F57" s="520"/>
      <c r="G57" s="481">
        <f t="shared" si="4"/>
        <v>0</v>
      </c>
      <c r="H57" s="496" t="e">
        <f t="shared" si="5"/>
        <v>#DIV/0!</v>
      </c>
      <c r="I57" s="351" t="s">
        <v>60</v>
      </c>
      <c r="J57" s="30">
        <v>400000</v>
      </c>
      <c r="K57" s="29" t="s">
        <v>146</v>
      </c>
      <c r="L57" s="46" t="s">
        <v>121</v>
      </c>
      <c r="M57" s="381">
        <v>12</v>
      </c>
      <c r="N57" s="381" t="s">
        <v>129</v>
      </c>
      <c r="O57" s="53" t="s">
        <v>136</v>
      </c>
      <c r="P57" s="30">
        <f>SUM(J57*M57)</f>
        <v>4800000</v>
      </c>
      <c r="Q57" s="47" t="s">
        <v>146</v>
      </c>
      <c r="AD57" s="30"/>
      <c r="AE57" s="136"/>
      <c r="AF57" s="136"/>
    </row>
    <row r="58" spans="1:32" s="29" customFormat="1" ht="15.95" customHeight="1">
      <c r="A58" s="38"/>
      <c r="B58" s="326"/>
      <c r="C58" s="528"/>
      <c r="D58" s="490"/>
      <c r="E58" s="481"/>
      <c r="F58" s="520"/>
      <c r="G58" s="481">
        <f t="shared" si="4"/>
        <v>0</v>
      </c>
      <c r="H58" s="496" t="e">
        <f t="shared" si="5"/>
        <v>#DIV/0!</v>
      </c>
      <c r="I58" s="351" t="s">
        <v>338</v>
      </c>
      <c r="J58" s="30">
        <v>235000</v>
      </c>
      <c r="K58" s="29" t="s">
        <v>146</v>
      </c>
      <c r="L58" s="46" t="s">
        <v>121</v>
      </c>
      <c r="M58" s="381">
        <v>12</v>
      </c>
      <c r="N58" s="381" t="s">
        <v>129</v>
      </c>
      <c r="O58" s="53" t="s">
        <v>136</v>
      </c>
      <c r="P58" s="30">
        <f>SUM(J58*M58)</f>
        <v>2820000</v>
      </c>
      <c r="Q58" s="47" t="s">
        <v>146</v>
      </c>
      <c r="AD58" s="30"/>
      <c r="AE58" s="136"/>
      <c r="AF58" s="136"/>
    </row>
    <row r="59" spans="1:32" s="29" customFormat="1" ht="15.95" customHeight="1">
      <c r="A59" s="38"/>
      <c r="B59" s="326"/>
      <c r="C59" s="528"/>
      <c r="D59" s="490"/>
      <c r="E59" s="481"/>
      <c r="F59" s="520"/>
      <c r="G59" s="481">
        <f t="shared" si="4"/>
        <v>0</v>
      </c>
      <c r="H59" s="496" t="e">
        <f t="shared" si="5"/>
        <v>#DIV/0!</v>
      </c>
      <c r="I59" s="351" t="s">
        <v>242</v>
      </c>
      <c r="J59" s="30">
        <v>50000</v>
      </c>
      <c r="K59" s="29" t="s">
        <v>146</v>
      </c>
      <c r="L59" s="46" t="s">
        <v>121</v>
      </c>
      <c r="M59" s="381">
        <v>12</v>
      </c>
      <c r="N59" s="381" t="s">
        <v>124</v>
      </c>
      <c r="O59" s="53" t="s">
        <v>136</v>
      </c>
      <c r="P59" s="30">
        <f>SUM(J59*M59)</f>
        <v>600000</v>
      </c>
      <c r="Q59" s="47" t="s">
        <v>146</v>
      </c>
      <c r="AD59" s="30"/>
      <c r="AE59" s="136"/>
      <c r="AF59" s="136"/>
    </row>
    <row r="60" spans="1:32" s="29" customFormat="1" ht="15.95" customHeight="1">
      <c r="A60" s="38" t="s">
        <v>158</v>
      </c>
      <c r="B60" s="326" t="s">
        <v>158</v>
      </c>
      <c r="C60" s="486" t="s">
        <v>355</v>
      </c>
      <c r="D60" s="489">
        <v>91199</v>
      </c>
      <c r="E60" s="480">
        <f>+P60/1000</f>
        <v>91199.2</v>
      </c>
      <c r="F60" s="519">
        <v>194780</v>
      </c>
      <c r="G60" s="480">
        <f t="shared" si="4"/>
        <v>0.19999999999708962</v>
      </c>
      <c r="H60" s="495">
        <f t="shared" si="5"/>
        <v>2.1930065022323665E-4</v>
      </c>
      <c r="I60" s="177"/>
      <c r="J60" s="42"/>
      <c r="K60" s="86"/>
      <c r="L60" s="86"/>
      <c r="M60" s="420" t="s">
        <v>159</v>
      </c>
      <c r="N60" s="420"/>
      <c r="O60" s="420"/>
      <c r="P60" s="36">
        <f>SUM(P61:P64)</f>
        <v>91199200</v>
      </c>
      <c r="Q60" s="37" t="s">
        <v>146</v>
      </c>
      <c r="AD60" s="30"/>
      <c r="AE60" s="136"/>
      <c r="AF60" s="136"/>
    </row>
    <row r="61" spans="1:32" s="29" customFormat="1" ht="15.95" customHeight="1">
      <c r="A61" s="38"/>
      <c r="B61" s="326"/>
      <c r="C61" s="487"/>
      <c r="D61" s="490"/>
      <c r="E61" s="481"/>
      <c r="F61" s="520"/>
      <c r="G61" s="481"/>
      <c r="H61" s="496"/>
      <c r="I61" s="351" t="s">
        <v>397</v>
      </c>
      <c r="J61" s="30">
        <v>8750000</v>
      </c>
      <c r="K61" s="29" t="s">
        <v>146</v>
      </c>
      <c r="L61" s="46" t="s">
        <v>121</v>
      </c>
      <c r="M61" s="381">
        <v>4</v>
      </c>
      <c r="N61" s="381" t="s">
        <v>124</v>
      </c>
      <c r="O61" s="53" t="s">
        <v>136</v>
      </c>
      <c r="P61" s="30">
        <f>SUM(J61*M61)</f>
        <v>35000000</v>
      </c>
      <c r="Q61" s="47" t="s">
        <v>146</v>
      </c>
      <c r="AD61" s="30"/>
      <c r="AE61" s="136"/>
      <c r="AF61" s="136"/>
    </row>
    <row r="62" spans="1:32" s="29" customFormat="1" ht="15.95" customHeight="1">
      <c r="A62" s="38"/>
      <c r="B62" s="326"/>
      <c r="C62" s="487"/>
      <c r="D62" s="490"/>
      <c r="E62" s="481"/>
      <c r="F62" s="520"/>
      <c r="G62" s="481"/>
      <c r="H62" s="496"/>
      <c r="I62" s="351" t="s">
        <v>297</v>
      </c>
      <c r="J62" s="30">
        <v>50000000</v>
      </c>
      <c r="K62" s="29" t="s">
        <v>146</v>
      </c>
      <c r="L62" s="46" t="s">
        <v>121</v>
      </c>
      <c r="M62" s="381">
        <v>1</v>
      </c>
      <c r="N62" s="381" t="s">
        <v>124</v>
      </c>
      <c r="O62" s="53" t="s">
        <v>136</v>
      </c>
      <c r="P62" s="30">
        <f>SUM(J62*M62)</f>
        <v>50000000</v>
      </c>
      <c r="Q62" s="47" t="s">
        <v>146</v>
      </c>
      <c r="AD62" s="30"/>
      <c r="AE62" s="136"/>
      <c r="AF62" s="136"/>
    </row>
    <row r="63" spans="1:32" s="29" customFormat="1" ht="15.95" customHeight="1">
      <c r="A63" s="38"/>
      <c r="B63" s="326"/>
      <c r="C63" s="487"/>
      <c r="D63" s="490"/>
      <c r="E63" s="481"/>
      <c r="F63" s="520"/>
      <c r="G63" s="481"/>
      <c r="H63" s="496"/>
      <c r="I63" s="299" t="s">
        <v>454</v>
      </c>
      <c r="J63" s="30">
        <v>4199200</v>
      </c>
      <c r="K63" s="29" t="s">
        <v>146</v>
      </c>
      <c r="L63" s="46" t="s">
        <v>121</v>
      </c>
      <c r="M63" s="381">
        <v>1</v>
      </c>
      <c r="N63" s="381" t="s">
        <v>124</v>
      </c>
      <c r="O63" s="381" t="s">
        <v>136</v>
      </c>
      <c r="P63" s="30">
        <f>SUM(J63*M63)</f>
        <v>4199200</v>
      </c>
      <c r="Q63" s="47" t="s">
        <v>146</v>
      </c>
      <c r="AD63" s="30"/>
      <c r="AE63" s="136"/>
      <c r="AF63" s="136"/>
    </row>
    <row r="64" spans="1:32" s="29" customFormat="1" ht="15.95" customHeight="1">
      <c r="A64" s="38"/>
      <c r="B64" s="326"/>
      <c r="C64" s="488"/>
      <c r="D64" s="491"/>
      <c r="E64" s="482"/>
      <c r="F64" s="522"/>
      <c r="G64" s="482"/>
      <c r="H64" s="497"/>
      <c r="I64" s="187" t="s">
        <v>368</v>
      </c>
      <c r="J64" s="50">
        <v>1000000</v>
      </c>
      <c r="K64" s="174" t="s">
        <v>146</v>
      </c>
      <c r="L64" s="69" t="s">
        <v>121</v>
      </c>
      <c r="M64" s="380">
        <v>2</v>
      </c>
      <c r="N64" s="380" t="s">
        <v>147</v>
      </c>
      <c r="O64" s="70" t="s">
        <v>136</v>
      </c>
      <c r="P64" s="50">
        <f>SUM(J64*M64)</f>
        <v>2000000</v>
      </c>
      <c r="Q64" s="71" t="s">
        <v>146</v>
      </c>
      <c r="AD64" s="30"/>
      <c r="AE64" s="136"/>
      <c r="AF64" s="136"/>
    </row>
    <row r="65" spans="1:32" s="29" customFormat="1" ht="15.95" customHeight="1">
      <c r="A65" s="19" t="s">
        <v>130</v>
      </c>
      <c r="B65" s="343" t="s">
        <v>145</v>
      </c>
      <c r="C65" s="551" t="s">
        <v>125</v>
      </c>
      <c r="D65" s="489">
        <v>2400</v>
      </c>
      <c r="E65" s="480">
        <f>+P65/1000</f>
        <v>1200</v>
      </c>
      <c r="F65" s="519">
        <v>6589</v>
      </c>
      <c r="G65" s="480">
        <f>+E65-D65</f>
        <v>-1200</v>
      </c>
      <c r="H65" s="495">
        <f>+G65/D65*100</f>
        <v>-50</v>
      </c>
      <c r="I65" s="177"/>
      <c r="J65" s="42"/>
      <c r="K65" s="86"/>
      <c r="L65" s="330"/>
      <c r="M65" s="420" t="s">
        <v>159</v>
      </c>
      <c r="N65" s="420"/>
      <c r="O65" s="420"/>
      <c r="P65" s="42">
        <f>SUM(P66:P67)</f>
        <v>1200000</v>
      </c>
      <c r="Q65" s="37" t="s">
        <v>146</v>
      </c>
      <c r="AD65" s="30"/>
      <c r="AE65" s="136"/>
      <c r="AF65" s="136"/>
    </row>
    <row r="66" spans="1:32" s="29" customFormat="1" ht="15.95" customHeight="1">
      <c r="A66" s="38"/>
      <c r="B66" s="326"/>
      <c r="C66" s="528"/>
      <c r="D66" s="490"/>
      <c r="E66" s="481"/>
      <c r="F66" s="520"/>
      <c r="G66" s="481">
        <f>+E66-D66</f>
        <v>0</v>
      </c>
      <c r="H66" s="496" t="e">
        <f>+G66/D66*100</f>
        <v>#DIV/0!</v>
      </c>
      <c r="I66" s="351" t="s">
        <v>229</v>
      </c>
      <c r="J66" s="30">
        <v>50000</v>
      </c>
      <c r="K66" s="29" t="s">
        <v>146</v>
      </c>
      <c r="L66" s="381" t="s">
        <v>121</v>
      </c>
      <c r="M66" s="381">
        <v>12</v>
      </c>
      <c r="N66" s="381" t="s">
        <v>129</v>
      </c>
      <c r="O66" s="53" t="s">
        <v>136</v>
      </c>
      <c r="P66" s="30">
        <f>SUM(J66*M66)</f>
        <v>600000</v>
      </c>
      <c r="Q66" s="47" t="s">
        <v>146</v>
      </c>
      <c r="AD66" s="30"/>
      <c r="AE66" s="136"/>
      <c r="AF66" s="136"/>
    </row>
    <row r="67" spans="1:32" s="29" customFormat="1" ht="15.95" customHeight="1">
      <c r="A67" s="38"/>
      <c r="B67" s="326"/>
      <c r="C67" s="529"/>
      <c r="D67" s="491"/>
      <c r="E67" s="482"/>
      <c r="F67" s="522"/>
      <c r="G67" s="482">
        <f>+E67-D67</f>
        <v>0</v>
      </c>
      <c r="H67" s="497" t="e">
        <f>+G67/D67*100</f>
        <v>#DIV/0!</v>
      </c>
      <c r="I67" s="187" t="s">
        <v>335</v>
      </c>
      <c r="J67" s="50">
        <v>300000</v>
      </c>
      <c r="K67" s="174" t="s">
        <v>146</v>
      </c>
      <c r="L67" s="69" t="s">
        <v>121</v>
      </c>
      <c r="M67" s="380">
        <v>2</v>
      </c>
      <c r="N67" s="381" t="s">
        <v>462</v>
      </c>
      <c r="O67" s="70" t="s">
        <v>136</v>
      </c>
      <c r="P67" s="50">
        <f>SUM(J67*M67)</f>
        <v>600000</v>
      </c>
      <c r="Q67" s="71" t="s">
        <v>146</v>
      </c>
      <c r="AD67" s="30"/>
      <c r="AE67" s="136"/>
      <c r="AF67" s="136"/>
    </row>
    <row r="68" spans="1:32" s="29" customFormat="1" ht="15.95" customHeight="1">
      <c r="A68" s="190"/>
      <c r="B68" s="191"/>
      <c r="C68" s="486" t="s">
        <v>303</v>
      </c>
      <c r="D68" s="489">
        <v>108470</v>
      </c>
      <c r="E68" s="480">
        <f>+P68/1000</f>
        <v>97959.999945000003</v>
      </c>
      <c r="F68" s="361">
        <v>36590</v>
      </c>
      <c r="G68" s="480">
        <f>E68-D68</f>
        <v>-10510.000054999997</v>
      </c>
      <c r="H68" s="483">
        <f t="shared" si="5"/>
        <v>-9.689315068682582</v>
      </c>
      <c r="I68" s="188"/>
      <c r="J68" s="189"/>
      <c r="K68" s="86"/>
      <c r="L68" s="330"/>
      <c r="M68" s="420" t="s">
        <v>159</v>
      </c>
      <c r="N68" s="420"/>
      <c r="O68" s="420"/>
      <c r="P68" s="42">
        <f>SUM(P69:P76)</f>
        <v>97959999.945000008</v>
      </c>
      <c r="Q68" s="37" t="s">
        <v>146</v>
      </c>
      <c r="AD68" s="30"/>
      <c r="AE68" s="136"/>
      <c r="AF68" s="136"/>
    </row>
    <row r="69" spans="1:32" s="29" customFormat="1" ht="15.95" customHeight="1">
      <c r="A69" s="190"/>
      <c r="B69" s="191"/>
      <c r="C69" s="487"/>
      <c r="D69" s="490"/>
      <c r="E69" s="481"/>
      <c r="F69" s="362"/>
      <c r="G69" s="481"/>
      <c r="H69" s="484"/>
      <c r="I69" s="351" t="s">
        <v>369</v>
      </c>
      <c r="J69" s="30">
        <v>200000</v>
      </c>
      <c r="K69" s="29" t="s">
        <v>146</v>
      </c>
      <c r="L69" s="46" t="s">
        <v>121</v>
      </c>
      <c r="M69" s="381">
        <v>15</v>
      </c>
      <c r="N69" s="381" t="s">
        <v>144</v>
      </c>
      <c r="O69" s="53" t="s">
        <v>136</v>
      </c>
      <c r="P69" s="30">
        <f>SUM(J69*M69)</f>
        <v>3000000</v>
      </c>
      <c r="Q69" s="47" t="s">
        <v>146</v>
      </c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192"/>
      <c r="AE69" s="192"/>
      <c r="AF69" s="192"/>
    </row>
    <row r="70" spans="1:32" s="29" customFormat="1" ht="15.95" customHeight="1">
      <c r="A70" s="38"/>
      <c r="B70" s="326"/>
      <c r="C70" s="487"/>
      <c r="D70" s="490"/>
      <c r="E70" s="481"/>
      <c r="F70" s="362"/>
      <c r="G70" s="481"/>
      <c r="H70" s="484"/>
      <c r="I70" s="351" t="s">
        <v>211</v>
      </c>
      <c r="J70" s="30">
        <v>1905945.9450000001</v>
      </c>
      <c r="K70" s="29" t="s">
        <v>146</v>
      </c>
      <c r="L70" s="46" t="s">
        <v>121</v>
      </c>
      <c r="M70" s="381">
        <v>37</v>
      </c>
      <c r="N70" s="381" t="s">
        <v>124</v>
      </c>
      <c r="O70" s="53" t="s">
        <v>136</v>
      </c>
      <c r="P70" s="30">
        <f>SUM(J70*M70)</f>
        <v>70519999.965000004</v>
      </c>
      <c r="Q70" s="47" t="s">
        <v>146</v>
      </c>
      <c r="AD70" s="30"/>
      <c r="AE70" s="136"/>
      <c r="AF70" s="136"/>
    </row>
    <row r="71" spans="1:32" s="29" customFormat="1" ht="15.95" customHeight="1">
      <c r="A71" s="38"/>
      <c r="B71" s="326"/>
      <c r="C71" s="487"/>
      <c r="D71" s="490"/>
      <c r="E71" s="481"/>
      <c r="F71" s="362"/>
      <c r="G71" s="481"/>
      <c r="H71" s="484"/>
      <c r="I71" s="351" t="s">
        <v>91</v>
      </c>
      <c r="J71" s="30">
        <v>400000</v>
      </c>
      <c r="K71" s="29" t="s">
        <v>146</v>
      </c>
      <c r="L71" s="46" t="s">
        <v>121</v>
      </c>
      <c r="M71" s="381">
        <v>2</v>
      </c>
      <c r="N71" s="381" t="s">
        <v>124</v>
      </c>
      <c r="O71" s="53" t="s">
        <v>136</v>
      </c>
      <c r="P71" s="30">
        <f>SUM(J71*M71)</f>
        <v>800000</v>
      </c>
      <c r="Q71" s="47" t="s">
        <v>146</v>
      </c>
      <c r="AD71" s="30"/>
      <c r="AE71" s="136"/>
      <c r="AF71" s="136"/>
    </row>
    <row r="72" spans="1:32" s="29" customFormat="1" ht="15.95" customHeight="1">
      <c r="A72" s="38"/>
      <c r="B72" s="326"/>
      <c r="C72" s="487"/>
      <c r="D72" s="490"/>
      <c r="E72" s="481"/>
      <c r="F72" s="362"/>
      <c r="G72" s="481"/>
      <c r="H72" s="484"/>
      <c r="I72" s="351" t="s">
        <v>406</v>
      </c>
      <c r="J72" s="30">
        <v>1000000</v>
      </c>
      <c r="K72" s="29" t="s">
        <v>146</v>
      </c>
      <c r="L72" s="46" t="s">
        <v>121</v>
      </c>
      <c r="M72" s="381">
        <v>1</v>
      </c>
      <c r="N72" s="381" t="s">
        <v>124</v>
      </c>
      <c r="O72" s="53" t="s">
        <v>136</v>
      </c>
      <c r="P72" s="30">
        <f>SUM(J72*M72)</f>
        <v>1000000</v>
      </c>
      <c r="Q72" s="47" t="s">
        <v>146</v>
      </c>
      <c r="AD72" s="30"/>
      <c r="AE72" s="136"/>
      <c r="AF72" s="136"/>
    </row>
    <row r="73" spans="1:32" s="29" customFormat="1" ht="15.95" customHeight="1">
      <c r="A73" s="38"/>
      <c r="B73" s="326"/>
      <c r="C73" s="487"/>
      <c r="D73" s="490"/>
      <c r="E73" s="481"/>
      <c r="F73" s="362"/>
      <c r="G73" s="481"/>
      <c r="H73" s="484"/>
      <c r="I73" s="351" t="s">
        <v>421</v>
      </c>
      <c r="J73" s="30">
        <v>50000</v>
      </c>
      <c r="K73" s="29" t="s">
        <v>146</v>
      </c>
      <c r="L73" s="46" t="s">
        <v>121</v>
      </c>
      <c r="M73" s="381">
        <v>4</v>
      </c>
      <c r="N73" s="381" t="s">
        <v>124</v>
      </c>
      <c r="O73" s="53" t="s">
        <v>136</v>
      </c>
      <c r="P73" s="30">
        <f>SUM(J73*M73)</f>
        <v>200000</v>
      </c>
      <c r="Q73" s="47" t="s">
        <v>146</v>
      </c>
      <c r="AD73" s="30"/>
      <c r="AE73" s="136"/>
      <c r="AF73" s="136"/>
    </row>
    <row r="74" spans="1:32" s="29" customFormat="1" ht="15.95" customHeight="1">
      <c r="A74" s="38"/>
      <c r="B74" s="326"/>
      <c r="C74" s="487"/>
      <c r="D74" s="490"/>
      <c r="E74" s="481"/>
      <c r="F74" s="362"/>
      <c r="G74" s="481"/>
      <c r="H74" s="484"/>
      <c r="I74" s="588" t="s">
        <v>240</v>
      </c>
      <c r="J74" s="589">
        <v>576000</v>
      </c>
      <c r="K74" s="590" t="s">
        <v>146</v>
      </c>
      <c r="L74" s="591" t="s">
        <v>121</v>
      </c>
      <c r="M74" s="592">
        <v>15</v>
      </c>
      <c r="N74" s="592" t="s">
        <v>144</v>
      </c>
      <c r="O74" s="593" t="s">
        <v>136</v>
      </c>
      <c r="P74" s="589">
        <f>+J74*M74</f>
        <v>8640000</v>
      </c>
      <c r="Q74" s="594" t="s">
        <v>146</v>
      </c>
      <c r="AD74" s="30"/>
      <c r="AE74" s="136"/>
      <c r="AF74" s="136"/>
    </row>
    <row r="75" spans="1:32" s="29" customFormat="1" ht="15.95" customHeight="1">
      <c r="A75" s="38"/>
      <c r="B75" s="326"/>
      <c r="C75" s="487"/>
      <c r="D75" s="490"/>
      <c r="E75" s="481"/>
      <c r="F75" s="362"/>
      <c r="G75" s="481"/>
      <c r="H75" s="484"/>
      <c r="I75" s="350" t="s">
        <v>380</v>
      </c>
      <c r="J75" s="30">
        <v>4266666.66</v>
      </c>
      <c r="K75" s="29" t="s">
        <v>146</v>
      </c>
      <c r="L75" s="46" t="s">
        <v>121</v>
      </c>
      <c r="M75" s="381">
        <v>3</v>
      </c>
      <c r="N75" s="381" t="s">
        <v>124</v>
      </c>
      <c r="O75" s="53" t="s">
        <v>136</v>
      </c>
      <c r="P75" s="30">
        <f>+J75*M75</f>
        <v>12799999.98</v>
      </c>
      <c r="Q75" s="47" t="s">
        <v>146</v>
      </c>
      <c r="AD75" s="30"/>
      <c r="AE75" s="136"/>
      <c r="AF75" s="136"/>
    </row>
    <row r="76" spans="1:32" s="29" customFormat="1" ht="15.95" customHeight="1">
      <c r="A76" s="103"/>
      <c r="B76" s="338"/>
      <c r="C76" s="488"/>
      <c r="D76" s="491"/>
      <c r="E76" s="482"/>
      <c r="F76" s="362"/>
      <c r="G76" s="482"/>
      <c r="H76" s="485"/>
      <c r="I76" s="175" t="s">
        <v>430</v>
      </c>
      <c r="J76" s="30">
        <v>1000000</v>
      </c>
      <c r="K76" s="29" t="s">
        <v>146</v>
      </c>
      <c r="L76" s="46" t="s">
        <v>121</v>
      </c>
      <c r="M76" s="381">
        <v>1</v>
      </c>
      <c r="N76" s="381" t="s">
        <v>124</v>
      </c>
      <c r="O76" s="53" t="s">
        <v>136</v>
      </c>
      <c r="P76" s="30">
        <f>+J76*M76</f>
        <v>1000000</v>
      </c>
      <c r="Q76" s="47" t="s">
        <v>146</v>
      </c>
      <c r="AD76" s="30"/>
      <c r="AE76" s="136"/>
      <c r="AF76" s="136"/>
    </row>
    <row r="77" spans="1:32" s="29" customFormat="1" ht="20.100000000000001" customHeight="1">
      <c r="A77" s="291" t="s">
        <v>164</v>
      </c>
      <c r="B77" s="424" t="s">
        <v>165</v>
      </c>
      <c r="C77" s="425"/>
      <c r="D77" s="241">
        <f>SUM(D78:D82)</f>
        <v>2352887</v>
      </c>
      <c r="E77" s="243">
        <f>SUM(E78:E82)</f>
        <v>2352887</v>
      </c>
      <c r="F77" s="242">
        <f>SUM(F78:F82)</f>
        <v>215364</v>
      </c>
      <c r="G77" s="243">
        <f>+E77-D77</f>
        <v>0</v>
      </c>
      <c r="H77" s="244">
        <f>+G77/D77*100</f>
        <v>0</v>
      </c>
      <c r="I77" s="209"/>
      <c r="J77" s="117"/>
      <c r="K77" s="60"/>
      <c r="L77" s="347"/>
      <c r="M77" s="347"/>
      <c r="N77" s="347"/>
      <c r="O77" s="347"/>
      <c r="P77" s="234">
        <f>SUM(P78,P80,P82)</f>
        <v>2352887000</v>
      </c>
      <c r="Q77" s="62" t="s">
        <v>146</v>
      </c>
      <c r="AD77" s="30"/>
      <c r="AE77" s="136"/>
      <c r="AF77" s="136"/>
    </row>
    <row r="78" spans="1:32" s="29" customFormat="1" ht="16.5" customHeight="1">
      <c r="A78" s="19" t="s">
        <v>119</v>
      </c>
      <c r="B78" s="343" t="s">
        <v>122</v>
      </c>
      <c r="C78" s="528" t="s">
        <v>122</v>
      </c>
      <c r="D78" s="490">
        <v>2349887</v>
      </c>
      <c r="E78" s="481">
        <f>+P78/1000</f>
        <v>2349887</v>
      </c>
      <c r="F78" s="520">
        <v>290</v>
      </c>
      <c r="G78" s="481">
        <f>+E78-D78</f>
        <v>0</v>
      </c>
      <c r="H78" s="496">
        <f>G78/D78*100</f>
        <v>0</v>
      </c>
      <c r="I78" s="195"/>
      <c r="J78" s="30"/>
      <c r="L78" s="46"/>
      <c r="M78" s="381" t="s">
        <v>159</v>
      </c>
      <c r="N78" s="381"/>
      <c r="O78" s="381"/>
      <c r="P78" s="30">
        <f>SUM(P79:P79)</f>
        <v>2349887000</v>
      </c>
      <c r="Q78" s="47" t="s">
        <v>412</v>
      </c>
      <c r="AD78" s="30"/>
      <c r="AE78" s="136"/>
      <c r="AF78" s="136"/>
    </row>
    <row r="79" spans="1:32" s="29" customFormat="1" ht="16.5" customHeight="1">
      <c r="A79" s="38"/>
      <c r="B79" s="326"/>
      <c r="C79" s="529"/>
      <c r="D79" s="491"/>
      <c r="E79" s="482"/>
      <c r="F79" s="522"/>
      <c r="G79" s="482"/>
      <c r="H79" s="497"/>
      <c r="I79" s="194" t="s">
        <v>336</v>
      </c>
      <c r="J79" s="50">
        <v>2349887000</v>
      </c>
      <c r="K79" s="174" t="s">
        <v>146</v>
      </c>
      <c r="L79" s="69" t="s">
        <v>121</v>
      </c>
      <c r="M79" s="380">
        <v>1</v>
      </c>
      <c r="N79" s="380" t="s">
        <v>124</v>
      </c>
      <c r="O79" s="70" t="s">
        <v>136</v>
      </c>
      <c r="P79" s="50">
        <f>SUM(J79*M79)</f>
        <v>2349887000</v>
      </c>
      <c r="Q79" s="71" t="s">
        <v>146</v>
      </c>
      <c r="AD79" s="30"/>
      <c r="AE79" s="136"/>
      <c r="AF79" s="136"/>
    </row>
    <row r="80" spans="1:32" s="29" customFormat="1" ht="16.5" customHeight="1">
      <c r="A80" s="38"/>
      <c r="B80" s="326"/>
      <c r="C80" s="486" t="s">
        <v>348</v>
      </c>
      <c r="D80" s="489">
        <v>2000</v>
      </c>
      <c r="E80" s="480">
        <f>+P80/1000</f>
        <v>2000</v>
      </c>
      <c r="F80" s="519">
        <v>80074</v>
      </c>
      <c r="G80" s="480">
        <f>+E80-D80</f>
        <v>0</v>
      </c>
      <c r="H80" s="495">
        <f>+G80/D80*100</f>
        <v>0</v>
      </c>
      <c r="I80" s="195"/>
      <c r="J80" s="30" t="s">
        <v>439</v>
      </c>
      <c r="L80" s="46"/>
      <c r="M80" s="381" t="s">
        <v>159</v>
      </c>
      <c r="N80" s="381"/>
      <c r="O80" s="381"/>
      <c r="P80" s="30">
        <f>SUM(P81:P81)</f>
        <v>2000000</v>
      </c>
      <c r="Q80" s="47" t="s">
        <v>146</v>
      </c>
      <c r="AD80" s="30"/>
      <c r="AE80" s="136"/>
      <c r="AF80" s="136"/>
    </row>
    <row r="81" spans="1:32" s="29" customFormat="1" ht="16.5" customHeight="1">
      <c r="A81" s="38"/>
      <c r="B81" s="326"/>
      <c r="C81" s="487"/>
      <c r="D81" s="490"/>
      <c r="E81" s="481"/>
      <c r="F81" s="520"/>
      <c r="G81" s="481"/>
      <c r="H81" s="496"/>
      <c r="I81" s="175" t="s">
        <v>96</v>
      </c>
      <c r="J81" s="30">
        <v>1000000</v>
      </c>
      <c r="K81" s="29" t="s">
        <v>146</v>
      </c>
      <c r="L81" s="69" t="s">
        <v>121</v>
      </c>
      <c r="M81" s="381">
        <v>2</v>
      </c>
      <c r="N81" s="381" t="s">
        <v>432</v>
      </c>
      <c r="O81" s="53" t="s">
        <v>136</v>
      </c>
      <c r="P81" s="30">
        <f>SUM(J81*M81)</f>
        <v>2000000</v>
      </c>
      <c r="Q81" s="47" t="s">
        <v>146</v>
      </c>
      <c r="AD81" s="30"/>
      <c r="AE81" s="136"/>
      <c r="AF81" s="136"/>
    </row>
    <row r="82" spans="1:32" s="29" customFormat="1" ht="16.5" customHeight="1">
      <c r="A82" s="38"/>
      <c r="B82" s="326"/>
      <c r="C82" s="548" t="s">
        <v>45</v>
      </c>
      <c r="D82" s="489">
        <v>1000</v>
      </c>
      <c r="E82" s="480">
        <f>+P82/1000</f>
        <v>1000</v>
      </c>
      <c r="F82" s="519">
        <v>135000</v>
      </c>
      <c r="G82" s="480">
        <f>+E82-D82</f>
        <v>0</v>
      </c>
      <c r="H82" s="495">
        <f>+G82/D82*100</f>
        <v>0</v>
      </c>
      <c r="I82" s="196"/>
      <c r="J82" s="42"/>
      <c r="K82" s="86"/>
      <c r="L82" s="51"/>
      <c r="M82" s="330" t="s">
        <v>159</v>
      </c>
      <c r="N82" s="330"/>
      <c r="O82" s="330"/>
      <c r="P82" s="42">
        <f>SUM(P83:P83)</f>
        <v>1000000</v>
      </c>
      <c r="Q82" s="37" t="s">
        <v>146</v>
      </c>
      <c r="AD82" s="30"/>
      <c r="AE82" s="136"/>
      <c r="AF82" s="136"/>
    </row>
    <row r="83" spans="1:32" s="29" customFormat="1" ht="16.5" customHeight="1" thickBot="1">
      <c r="A83" s="38"/>
      <c r="B83" s="326"/>
      <c r="C83" s="550"/>
      <c r="D83" s="491"/>
      <c r="E83" s="482"/>
      <c r="F83" s="522"/>
      <c r="G83" s="482"/>
      <c r="H83" s="496"/>
      <c r="I83" s="194" t="s">
        <v>226</v>
      </c>
      <c r="J83" s="50">
        <v>500000</v>
      </c>
      <c r="K83" s="174" t="s">
        <v>146</v>
      </c>
      <c r="L83" s="69" t="s">
        <v>121</v>
      </c>
      <c r="M83" s="380">
        <v>2</v>
      </c>
      <c r="N83" s="380" t="s">
        <v>124</v>
      </c>
      <c r="O83" s="70" t="s">
        <v>136</v>
      </c>
      <c r="P83" s="50">
        <f>J83*M83</f>
        <v>1000000</v>
      </c>
      <c r="Q83" s="71" t="s">
        <v>146</v>
      </c>
      <c r="AD83" s="30"/>
      <c r="AE83" s="136"/>
      <c r="AF83" s="136"/>
    </row>
    <row r="84" spans="1:32" ht="20.100000000000001" customHeight="1">
      <c r="A84" s="197" t="s">
        <v>142</v>
      </c>
      <c r="B84" s="546" t="s">
        <v>165</v>
      </c>
      <c r="C84" s="547"/>
      <c r="D84" s="198">
        <f>+D85+D98+D111+D132+D148+D154+D162+D166+D171+D180+D191</f>
        <v>1684811</v>
      </c>
      <c r="E84" s="200">
        <f>+E85+E98+E111+E132+E148+E154+E162+E166+E171+E180+E191</f>
        <v>1691951.3599999999</v>
      </c>
      <c r="F84" s="199" t="e">
        <f>+F85+F98+F132+#REF!+#REF!+#REF!+F154+F162+F171+#REF!+#REF!+F180+F191+#REF!</f>
        <v>#REF!</v>
      </c>
      <c r="G84" s="200">
        <f>+E84-D84</f>
        <v>7140.3599999998696</v>
      </c>
      <c r="H84" s="201">
        <f>+G84/D84*100</f>
        <v>0.42380777428446692</v>
      </c>
      <c r="I84" s="202"/>
      <c r="J84" s="203"/>
      <c r="K84" s="204"/>
      <c r="L84" s="205"/>
      <c r="M84" s="205"/>
      <c r="N84" s="205"/>
      <c r="O84" s="205"/>
      <c r="P84" s="203">
        <f>+P85+P98+P111+P132+P148+P154+P162+P166+P171+P180+P191</f>
        <v>1691951360</v>
      </c>
      <c r="Q84" s="206" t="s">
        <v>146</v>
      </c>
    </row>
    <row r="85" spans="1:32" ht="20.100000000000001" customHeight="1">
      <c r="A85" s="160"/>
      <c r="B85" s="207" t="s">
        <v>266</v>
      </c>
      <c r="C85" s="345" t="s">
        <v>166</v>
      </c>
      <c r="D85" s="389">
        <f>SUM(D86:D95,D96:D97)</f>
        <v>135338</v>
      </c>
      <c r="E85" s="388">
        <f>SUM(E86:E95,E96:E97)</f>
        <v>130138.36</v>
      </c>
      <c r="F85" s="208">
        <f>SUM(F86:F95)</f>
        <v>59008</v>
      </c>
      <c r="G85" s="388">
        <f>+E85-D85</f>
        <v>-5199.6399999999994</v>
      </c>
      <c r="H85" s="390">
        <f>+G85/D85*100</f>
        <v>-3.8419660405798814</v>
      </c>
      <c r="I85" s="209"/>
      <c r="J85" s="117"/>
      <c r="K85" s="60"/>
      <c r="L85" s="347"/>
      <c r="M85" s="436" t="s">
        <v>159</v>
      </c>
      <c r="N85" s="436"/>
      <c r="O85" s="436"/>
      <c r="P85" s="117">
        <f>SUM(P86,P90,P93,P96)</f>
        <v>130138360</v>
      </c>
      <c r="Q85" s="83" t="s">
        <v>146</v>
      </c>
    </row>
    <row r="86" spans="1:32" ht="15.95" customHeight="1">
      <c r="A86" s="160"/>
      <c r="B86" s="210" t="s">
        <v>329</v>
      </c>
      <c r="C86" s="530" t="s">
        <v>86</v>
      </c>
      <c r="D86" s="533">
        <v>53436</v>
      </c>
      <c r="E86" s="515">
        <f>+P86/1000</f>
        <v>53436.36</v>
      </c>
      <c r="F86" s="523">
        <v>896</v>
      </c>
      <c r="G86" s="515">
        <f>+E86-D86</f>
        <v>0.36000000000058208</v>
      </c>
      <c r="H86" s="512">
        <f>+G86/D86*100</f>
        <v>6.7370312149221884E-4</v>
      </c>
      <c r="I86" s="177"/>
      <c r="J86" s="52"/>
      <c r="K86" s="86"/>
      <c r="L86" s="86"/>
      <c r="M86" s="420" t="s">
        <v>159</v>
      </c>
      <c r="N86" s="420"/>
      <c r="O86" s="420"/>
      <c r="P86" s="36">
        <f>SUM(P87:P89)</f>
        <v>53436360</v>
      </c>
      <c r="Q86" s="37" t="s">
        <v>146</v>
      </c>
    </row>
    <row r="87" spans="1:32" ht="15.95" customHeight="1">
      <c r="A87" s="160"/>
      <c r="B87" s="176"/>
      <c r="C87" s="531"/>
      <c r="D87" s="534"/>
      <c r="E87" s="516"/>
      <c r="F87" s="524"/>
      <c r="G87" s="516"/>
      <c r="H87" s="513"/>
      <c r="I87" s="195" t="s">
        <v>113</v>
      </c>
      <c r="J87" s="45">
        <v>38600000</v>
      </c>
      <c r="K87" s="29" t="s">
        <v>146</v>
      </c>
      <c r="L87" s="46" t="s">
        <v>121</v>
      </c>
      <c r="M87" s="381">
        <v>1</v>
      </c>
      <c r="N87" s="381" t="s">
        <v>131</v>
      </c>
      <c r="O87" s="53" t="s">
        <v>136</v>
      </c>
      <c r="P87" s="45">
        <f>SUM(J87*M87)</f>
        <v>38600000</v>
      </c>
      <c r="Q87" s="47" t="s">
        <v>146</v>
      </c>
    </row>
    <row r="88" spans="1:32" ht="15.95" customHeight="1">
      <c r="A88" s="160"/>
      <c r="B88" s="176"/>
      <c r="C88" s="531"/>
      <c r="D88" s="534"/>
      <c r="E88" s="516"/>
      <c r="F88" s="524"/>
      <c r="G88" s="516"/>
      <c r="H88" s="513"/>
      <c r="I88" s="350" t="s">
        <v>373</v>
      </c>
      <c r="J88" s="45">
        <v>600000</v>
      </c>
      <c r="K88" s="29" t="s">
        <v>146</v>
      </c>
      <c r="L88" s="381" t="s">
        <v>121</v>
      </c>
      <c r="M88" s="381">
        <v>2</v>
      </c>
      <c r="N88" s="381" t="s">
        <v>124</v>
      </c>
      <c r="O88" s="53" t="s">
        <v>136</v>
      </c>
      <c r="P88" s="45">
        <f>SUM(J88*M88)</f>
        <v>1200000</v>
      </c>
      <c r="Q88" s="47" t="s">
        <v>146</v>
      </c>
    </row>
    <row r="89" spans="1:32" ht="15.95" customHeight="1">
      <c r="A89" s="160"/>
      <c r="B89" s="326"/>
      <c r="C89" s="532"/>
      <c r="D89" s="535"/>
      <c r="E89" s="517"/>
      <c r="F89" s="525"/>
      <c r="G89" s="517">
        <f>+E89-D89</f>
        <v>0</v>
      </c>
      <c r="H89" s="514" t="e">
        <f>+G89/D89*100</f>
        <v>#DIV/0!</v>
      </c>
      <c r="I89" s="173" t="s">
        <v>444</v>
      </c>
      <c r="J89" s="68">
        <v>6818180</v>
      </c>
      <c r="K89" s="174" t="s">
        <v>146</v>
      </c>
      <c r="L89" s="380" t="s">
        <v>121</v>
      </c>
      <c r="M89" s="380">
        <v>2</v>
      </c>
      <c r="N89" s="380" t="s">
        <v>124</v>
      </c>
      <c r="O89" s="70" t="s">
        <v>136</v>
      </c>
      <c r="P89" s="68">
        <f>SUM(J89*M89)</f>
        <v>13636360</v>
      </c>
      <c r="Q89" s="71" t="s">
        <v>146</v>
      </c>
    </row>
    <row r="90" spans="1:32" ht="15.95" customHeight="1">
      <c r="A90" s="160"/>
      <c r="B90" s="326"/>
      <c r="C90" s="576" t="s">
        <v>385</v>
      </c>
      <c r="D90" s="542">
        <v>15200</v>
      </c>
      <c r="E90" s="498">
        <f>+P90/1000</f>
        <v>10000</v>
      </c>
      <c r="F90" s="519">
        <v>8000</v>
      </c>
      <c r="G90" s="498">
        <f>+E90-D90</f>
        <v>-5200</v>
      </c>
      <c r="H90" s="492">
        <f>+G90/D90*100</f>
        <v>-34.210526315789473</v>
      </c>
      <c r="I90" s="170"/>
      <c r="J90" s="52"/>
      <c r="K90" s="86"/>
      <c r="L90" s="51"/>
      <c r="M90" s="420" t="s">
        <v>159</v>
      </c>
      <c r="N90" s="420"/>
      <c r="O90" s="420"/>
      <c r="P90" s="52">
        <f>SUM(P91:P92)</f>
        <v>10000000</v>
      </c>
      <c r="Q90" s="37" t="s">
        <v>146</v>
      </c>
    </row>
    <row r="91" spans="1:32" ht="15.95" customHeight="1">
      <c r="A91" s="160"/>
      <c r="B91" s="326"/>
      <c r="C91" s="577"/>
      <c r="D91" s="544"/>
      <c r="E91" s="500"/>
      <c r="F91" s="520"/>
      <c r="G91" s="500"/>
      <c r="H91" s="493"/>
      <c r="I91" s="351" t="s">
        <v>72</v>
      </c>
      <c r="J91" s="45">
        <v>5000000</v>
      </c>
      <c r="K91" s="29" t="s">
        <v>146</v>
      </c>
      <c r="L91" s="381" t="s">
        <v>121</v>
      </c>
      <c r="M91" s="381">
        <v>1</v>
      </c>
      <c r="N91" s="381" t="s">
        <v>149</v>
      </c>
      <c r="O91" s="381" t="s">
        <v>136</v>
      </c>
      <c r="P91" s="45">
        <f>J91*M91</f>
        <v>5000000</v>
      </c>
      <c r="Q91" s="47" t="s">
        <v>146</v>
      </c>
    </row>
    <row r="92" spans="1:32" ht="15.95" customHeight="1">
      <c r="A92" s="160"/>
      <c r="B92" s="326"/>
      <c r="C92" s="578"/>
      <c r="D92" s="543"/>
      <c r="E92" s="499"/>
      <c r="F92" s="522"/>
      <c r="G92" s="499"/>
      <c r="H92" s="494"/>
      <c r="I92" s="211" t="s">
        <v>68</v>
      </c>
      <c r="J92" s="68">
        <v>5000000</v>
      </c>
      <c r="K92" s="174" t="s">
        <v>146</v>
      </c>
      <c r="L92" s="380" t="s">
        <v>121</v>
      </c>
      <c r="M92" s="380">
        <v>1</v>
      </c>
      <c r="N92" s="380" t="s">
        <v>149</v>
      </c>
      <c r="O92" s="70" t="s">
        <v>136</v>
      </c>
      <c r="P92" s="68">
        <f>SUM(J92*M92)</f>
        <v>5000000</v>
      </c>
      <c r="Q92" s="71" t="s">
        <v>146</v>
      </c>
    </row>
    <row r="93" spans="1:32" ht="15.95" customHeight="1">
      <c r="A93" s="212"/>
      <c r="B93" s="213"/>
      <c r="C93" s="548" t="s">
        <v>394</v>
      </c>
      <c r="D93" s="542">
        <v>66680</v>
      </c>
      <c r="E93" s="498">
        <f>+P93/1000</f>
        <v>66680</v>
      </c>
      <c r="F93" s="519">
        <v>50112</v>
      </c>
      <c r="G93" s="498">
        <f>+E93-D93</f>
        <v>0</v>
      </c>
      <c r="H93" s="492">
        <f>+G93/D93*100</f>
        <v>0</v>
      </c>
      <c r="I93" s="170"/>
      <c r="J93" s="52"/>
      <c r="K93" s="86"/>
      <c r="L93" s="51"/>
      <c r="M93" s="420" t="s">
        <v>159</v>
      </c>
      <c r="N93" s="420"/>
      <c r="O93" s="420"/>
      <c r="P93" s="52">
        <f>SUM(P94:P95)</f>
        <v>66680000</v>
      </c>
      <c r="Q93" s="37" t="s">
        <v>146</v>
      </c>
    </row>
    <row r="94" spans="1:32" ht="15.95" customHeight="1">
      <c r="A94" s="212"/>
      <c r="B94" s="213"/>
      <c r="C94" s="549"/>
      <c r="D94" s="544"/>
      <c r="E94" s="500"/>
      <c r="F94" s="520"/>
      <c r="G94" s="500">
        <f>+E94-D94</f>
        <v>0</v>
      </c>
      <c r="H94" s="493" t="e">
        <f>+G94/D94*100</f>
        <v>#DIV/0!</v>
      </c>
      <c r="I94" s="350" t="s">
        <v>82</v>
      </c>
      <c r="J94" s="45">
        <v>65380000</v>
      </c>
      <c r="K94" s="29" t="s">
        <v>146</v>
      </c>
      <c r="L94" s="46" t="s">
        <v>121</v>
      </c>
      <c r="M94" s="381">
        <v>1</v>
      </c>
      <c r="N94" s="381" t="s">
        <v>124</v>
      </c>
      <c r="O94" s="381" t="s">
        <v>136</v>
      </c>
      <c r="P94" s="45">
        <f>J94*M94</f>
        <v>65380000</v>
      </c>
      <c r="Q94" s="47" t="s">
        <v>146</v>
      </c>
    </row>
    <row r="95" spans="1:32" ht="15.95" customHeight="1">
      <c r="A95" s="160"/>
      <c r="B95" s="326"/>
      <c r="C95" s="549"/>
      <c r="D95" s="544"/>
      <c r="E95" s="500"/>
      <c r="F95" s="520"/>
      <c r="G95" s="500"/>
      <c r="H95" s="493"/>
      <c r="I95" s="350" t="s">
        <v>85</v>
      </c>
      <c r="J95" s="45">
        <v>1300000</v>
      </c>
      <c r="K95" s="29" t="s">
        <v>146</v>
      </c>
      <c r="L95" s="46" t="s">
        <v>121</v>
      </c>
      <c r="M95" s="381">
        <v>1</v>
      </c>
      <c r="N95" s="381" t="s">
        <v>131</v>
      </c>
      <c r="O95" s="381" t="s">
        <v>136</v>
      </c>
      <c r="P95" s="45">
        <f>J95*M95</f>
        <v>1300000</v>
      </c>
      <c r="Q95" s="47" t="s">
        <v>146</v>
      </c>
    </row>
    <row r="96" spans="1:32" ht="15.95" customHeight="1">
      <c r="A96" s="212"/>
      <c r="B96" s="176"/>
      <c r="C96" s="548" t="s">
        <v>379</v>
      </c>
      <c r="D96" s="542">
        <v>22</v>
      </c>
      <c r="E96" s="498">
        <f>P96/1000</f>
        <v>22</v>
      </c>
      <c r="F96" s="365"/>
      <c r="G96" s="498">
        <f>E96-D96</f>
        <v>0</v>
      </c>
      <c r="H96" s="492">
        <f>G96/D96*100</f>
        <v>0</v>
      </c>
      <c r="I96" s="170"/>
      <c r="J96" s="52"/>
      <c r="K96" s="86"/>
      <c r="L96" s="51"/>
      <c r="M96" s="420" t="s">
        <v>159</v>
      </c>
      <c r="N96" s="420"/>
      <c r="O96" s="420"/>
      <c r="P96" s="52">
        <f>SUM(P97:P97)</f>
        <v>22000</v>
      </c>
      <c r="Q96" s="37" t="s">
        <v>146</v>
      </c>
    </row>
    <row r="97" spans="1:17" ht="15.95" customHeight="1">
      <c r="A97" s="212"/>
      <c r="B97" s="66"/>
      <c r="C97" s="488"/>
      <c r="D97" s="543"/>
      <c r="E97" s="499"/>
      <c r="F97" s="365"/>
      <c r="G97" s="499"/>
      <c r="H97" s="494"/>
      <c r="I97" s="211" t="s">
        <v>391</v>
      </c>
      <c r="J97" s="68">
        <v>22000</v>
      </c>
      <c r="K97" s="174" t="s">
        <v>146</v>
      </c>
      <c r="L97" s="69" t="s">
        <v>121</v>
      </c>
      <c r="M97" s="380">
        <v>1</v>
      </c>
      <c r="N97" s="380" t="s">
        <v>124</v>
      </c>
      <c r="O97" s="380" t="s">
        <v>136</v>
      </c>
      <c r="P97" s="68">
        <f>J97*M97</f>
        <v>22000</v>
      </c>
      <c r="Q97" s="71" t="s">
        <v>146</v>
      </c>
    </row>
    <row r="98" spans="1:17" ht="20.100000000000001" customHeight="1">
      <c r="A98" s="212" t="s">
        <v>413</v>
      </c>
      <c r="B98" s="39" t="s">
        <v>276</v>
      </c>
      <c r="C98" s="214" t="s">
        <v>344</v>
      </c>
      <c r="D98" s="215">
        <f>SUM(D99:D109)</f>
        <v>94100</v>
      </c>
      <c r="E98" s="364">
        <f>P98/1000</f>
        <v>89100</v>
      </c>
      <c r="F98" s="216">
        <f>SUM(F99:F111)</f>
        <v>145152</v>
      </c>
      <c r="G98" s="364">
        <f>+E98-D98</f>
        <v>-5000</v>
      </c>
      <c r="H98" s="372">
        <f>+G98/D98*100</f>
        <v>-5.3134962805526031</v>
      </c>
      <c r="I98" s="173"/>
      <c r="J98" s="50"/>
      <c r="K98" s="174"/>
      <c r="L98" s="174"/>
      <c r="M98" s="564"/>
      <c r="N98" s="564"/>
      <c r="O98" s="564"/>
      <c r="P98" s="217">
        <f>SUM(P99,P102,P104,P107,P109)</f>
        <v>89100000</v>
      </c>
      <c r="Q98" s="71" t="s">
        <v>146</v>
      </c>
    </row>
    <row r="99" spans="1:17" ht="15.75" customHeight="1">
      <c r="A99" s="160"/>
      <c r="B99" s="343"/>
      <c r="C99" s="486" t="s">
        <v>256</v>
      </c>
      <c r="D99" s="542">
        <v>21200</v>
      </c>
      <c r="E99" s="498">
        <f>+P99/1000</f>
        <v>21200</v>
      </c>
      <c r="F99" s="519">
        <v>96000</v>
      </c>
      <c r="G99" s="498">
        <f>+E99-D99</f>
        <v>0</v>
      </c>
      <c r="H99" s="492">
        <f>+G99/D99*100</f>
        <v>0</v>
      </c>
      <c r="I99" s="177"/>
      <c r="J99" s="52"/>
      <c r="K99" s="86"/>
      <c r="L99" s="51"/>
      <c r="M99" s="420" t="s">
        <v>159</v>
      </c>
      <c r="N99" s="420"/>
      <c r="O99" s="420"/>
      <c r="P99" s="36">
        <f>SUM(P100:P101)</f>
        <v>21200000</v>
      </c>
      <c r="Q99" s="37" t="s">
        <v>146</v>
      </c>
    </row>
    <row r="100" spans="1:17" ht="15.75" customHeight="1">
      <c r="A100" s="160"/>
      <c r="B100" s="326"/>
      <c r="C100" s="487"/>
      <c r="D100" s="544"/>
      <c r="E100" s="500"/>
      <c r="F100" s="520"/>
      <c r="G100" s="500"/>
      <c r="H100" s="493"/>
      <c r="I100" s="351" t="s">
        <v>100</v>
      </c>
      <c r="J100" s="45">
        <v>100000</v>
      </c>
      <c r="K100" s="29" t="s">
        <v>146</v>
      </c>
      <c r="L100" s="46" t="s">
        <v>121</v>
      </c>
      <c r="M100" s="381">
        <v>2</v>
      </c>
      <c r="N100" s="381" t="s">
        <v>124</v>
      </c>
      <c r="O100" s="381" t="s">
        <v>136</v>
      </c>
      <c r="P100" s="64">
        <f>J100*M100</f>
        <v>200000</v>
      </c>
      <c r="Q100" s="47" t="s">
        <v>146</v>
      </c>
    </row>
    <row r="101" spans="1:17" ht="15.75" customHeight="1">
      <c r="A101" s="160"/>
      <c r="B101" s="326"/>
      <c r="C101" s="488"/>
      <c r="D101" s="543"/>
      <c r="E101" s="499"/>
      <c r="F101" s="522"/>
      <c r="G101" s="499"/>
      <c r="H101" s="494"/>
      <c r="I101" s="187" t="s">
        <v>209</v>
      </c>
      <c r="J101" s="68">
        <v>5250000</v>
      </c>
      <c r="K101" s="174" t="s">
        <v>146</v>
      </c>
      <c r="L101" s="69" t="s">
        <v>121</v>
      </c>
      <c r="M101" s="380">
        <v>4</v>
      </c>
      <c r="N101" s="380" t="s">
        <v>124</v>
      </c>
      <c r="O101" s="70" t="s">
        <v>136</v>
      </c>
      <c r="P101" s="68">
        <v>21000000</v>
      </c>
      <c r="Q101" s="71" t="s">
        <v>146</v>
      </c>
    </row>
    <row r="102" spans="1:17" ht="15.75" customHeight="1">
      <c r="A102" s="160"/>
      <c r="B102" s="326"/>
      <c r="C102" s="545" t="s">
        <v>352</v>
      </c>
      <c r="D102" s="521">
        <v>15700</v>
      </c>
      <c r="E102" s="511">
        <f>+P102/1000</f>
        <v>15700</v>
      </c>
      <c r="F102" s="510">
        <v>11052</v>
      </c>
      <c r="G102" s="511">
        <f>+E102-D102</f>
        <v>0</v>
      </c>
      <c r="H102" s="569">
        <f>+G102/D102*100</f>
        <v>0</v>
      </c>
      <c r="I102" s="170"/>
      <c r="J102" s="52"/>
      <c r="K102" s="86"/>
      <c r="L102" s="51"/>
      <c r="M102" s="420" t="s">
        <v>159</v>
      </c>
      <c r="N102" s="420"/>
      <c r="O102" s="420"/>
      <c r="P102" s="52">
        <f>SUM(P103:P103)</f>
        <v>15700000</v>
      </c>
      <c r="Q102" s="37" t="s">
        <v>146</v>
      </c>
    </row>
    <row r="103" spans="1:17" ht="15.75" customHeight="1">
      <c r="A103" s="160"/>
      <c r="B103" s="326"/>
      <c r="C103" s="545"/>
      <c r="D103" s="521"/>
      <c r="E103" s="511"/>
      <c r="F103" s="510"/>
      <c r="G103" s="511"/>
      <c r="H103" s="569"/>
      <c r="I103" s="350" t="s">
        <v>366</v>
      </c>
      <c r="J103" s="45">
        <v>1500000</v>
      </c>
      <c r="K103" s="29" t="s">
        <v>146</v>
      </c>
      <c r="L103" s="46" t="s">
        <v>121</v>
      </c>
      <c r="M103" s="381">
        <v>12</v>
      </c>
      <c r="N103" s="381" t="s">
        <v>124</v>
      </c>
      <c r="O103" s="381" t="s">
        <v>136</v>
      </c>
      <c r="P103" s="45">
        <v>15700000</v>
      </c>
      <c r="Q103" s="47" t="s">
        <v>146</v>
      </c>
    </row>
    <row r="104" spans="1:17" ht="15.95" customHeight="1">
      <c r="A104" s="212"/>
      <c r="B104" s="343"/>
      <c r="C104" s="486" t="s">
        <v>197</v>
      </c>
      <c r="D104" s="542">
        <v>29000</v>
      </c>
      <c r="E104" s="498">
        <f>+P104/1000</f>
        <v>24000</v>
      </c>
      <c r="F104" s="510">
        <v>20000</v>
      </c>
      <c r="G104" s="498">
        <f>+E104-D104</f>
        <v>-5000</v>
      </c>
      <c r="H104" s="501">
        <f>+G104/D104*100</f>
        <v>-17.241379310344829</v>
      </c>
      <c r="I104" s="170"/>
      <c r="J104" s="52"/>
      <c r="K104" s="86"/>
      <c r="L104" s="51"/>
      <c r="M104" s="420" t="s">
        <v>159</v>
      </c>
      <c r="N104" s="420"/>
      <c r="O104" s="420"/>
      <c r="P104" s="52">
        <f>SUM(P105:P106)</f>
        <v>24000000</v>
      </c>
      <c r="Q104" s="37" t="s">
        <v>146</v>
      </c>
    </row>
    <row r="105" spans="1:17" ht="15.95" customHeight="1">
      <c r="A105" s="160"/>
      <c r="B105" s="218"/>
      <c r="C105" s="487"/>
      <c r="D105" s="544"/>
      <c r="E105" s="500"/>
      <c r="F105" s="510"/>
      <c r="G105" s="500"/>
      <c r="H105" s="502"/>
      <c r="I105" s="350" t="s">
        <v>350</v>
      </c>
      <c r="J105" s="45">
        <v>13000000</v>
      </c>
      <c r="K105" s="29" t="s">
        <v>146</v>
      </c>
      <c r="L105" s="46" t="s">
        <v>121</v>
      </c>
      <c r="M105" s="381">
        <v>2</v>
      </c>
      <c r="N105" s="381" t="s">
        <v>124</v>
      </c>
      <c r="O105" s="53" t="s">
        <v>136</v>
      </c>
      <c r="P105" s="45">
        <v>21000000</v>
      </c>
      <c r="Q105" s="47" t="s">
        <v>146</v>
      </c>
    </row>
    <row r="106" spans="1:17" ht="15.95" customHeight="1">
      <c r="A106" s="160"/>
      <c r="B106" s="218"/>
      <c r="C106" s="488"/>
      <c r="D106" s="543"/>
      <c r="E106" s="499"/>
      <c r="F106" s="361"/>
      <c r="G106" s="499"/>
      <c r="H106" s="503"/>
      <c r="I106" s="350" t="s">
        <v>343</v>
      </c>
      <c r="J106" s="45">
        <v>3000000</v>
      </c>
      <c r="K106" s="29" t="s">
        <v>146</v>
      </c>
      <c r="L106" s="46" t="s">
        <v>121</v>
      </c>
      <c r="M106" s="381">
        <v>1</v>
      </c>
      <c r="N106" s="381" t="s">
        <v>124</v>
      </c>
      <c r="O106" s="53" t="s">
        <v>136</v>
      </c>
      <c r="P106" s="45">
        <f>SUM(J106*M106)</f>
        <v>3000000</v>
      </c>
      <c r="Q106" s="47" t="s">
        <v>146</v>
      </c>
    </row>
    <row r="107" spans="1:17" ht="15.95" customHeight="1">
      <c r="A107" s="160"/>
      <c r="B107" s="218"/>
      <c r="C107" s="486" t="s">
        <v>199</v>
      </c>
      <c r="D107" s="542">
        <v>19200</v>
      </c>
      <c r="E107" s="498">
        <f>+P107/1000</f>
        <v>19200</v>
      </c>
      <c r="F107" s="361"/>
      <c r="G107" s="498">
        <f>+E107-D107</f>
        <v>0</v>
      </c>
      <c r="H107" s="570">
        <f>+G107/D107*100</f>
        <v>0</v>
      </c>
      <c r="I107" s="170"/>
      <c r="J107" s="52"/>
      <c r="K107" s="86"/>
      <c r="L107" s="51"/>
      <c r="M107" s="420" t="s">
        <v>159</v>
      </c>
      <c r="N107" s="420"/>
      <c r="O107" s="420"/>
      <c r="P107" s="52">
        <f>SUM(P108:P108)</f>
        <v>19200000</v>
      </c>
      <c r="Q107" s="37" t="s">
        <v>146</v>
      </c>
    </row>
    <row r="108" spans="1:17" ht="15.95" customHeight="1">
      <c r="A108" s="160"/>
      <c r="B108" s="326"/>
      <c r="C108" s="488"/>
      <c r="D108" s="543"/>
      <c r="E108" s="499"/>
      <c r="F108" s="216"/>
      <c r="G108" s="499"/>
      <c r="H108" s="571"/>
      <c r="I108" s="194" t="s">
        <v>350</v>
      </c>
      <c r="J108" s="305">
        <v>4800000</v>
      </c>
      <c r="K108" s="174" t="s">
        <v>146</v>
      </c>
      <c r="L108" s="69" t="s">
        <v>121</v>
      </c>
      <c r="M108" s="380">
        <v>4</v>
      </c>
      <c r="N108" s="380" t="s">
        <v>124</v>
      </c>
      <c r="O108" s="70" t="s">
        <v>136</v>
      </c>
      <c r="P108" s="305">
        <f>SUM(J108*M108)</f>
        <v>19200000</v>
      </c>
      <c r="Q108" s="71" t="s">
        <v>146</v>
      </c>
    </row>
    <row r="109" spans="1:17" ht="15.95" customHeight="1">
      <c r="A109" s="160"/>
      <c r="B109" s="326"/>
      <c r="C109" s="551" t="s">
        <v>215</v>
      </c>
      <c r="D109" s="542">
        <v>9000</v>
      </c>
      <c r="E109" s="498">
        <f>+P109/1000</f>
        <v>9000</v>
      </c>
      <c r="F109" s="519">
        <v>18100</v>
      </c>
      <c r="G109" s="498">
        <f>+E109-D109</f>
        <v>0</v>
      </c>
      <c r="H109" s="492">
        <f>+G109/D109*100</f>
        <v>0</v>
      </c>
      <c r="I109" s="177"/>
      <c r="J109" s="52"/>
      <c r="K109" s="86"/>
      <c r="L109" s="51"/>
      <c r="M109" s="420" t="s">
        <v>159</v>
      </c>
      <c r="N109" s="420"/>
      <c r="O109" s="420"/>
      <c r="P109" s="52">
        <f>SUM(P110:P110)</f>
        <v>9000000</v>
      </c>
      <c r="Q109" s="37" t="s">
        <v>146</v>
      </c>
    </row>
    <row r="110" spans="1:17" ht="15.95" customHeight="1">
      <c r="A110" s="160"/>
      <c r="B110" s="338"/>
      <c r="C110" s="529"/>
      <c r="D110" s="543"/>
      <c r="E110" s="499"/>
      <c r="F110" s="522"/>
      <c r="G110" s="499">
        <f>+E110-D110</f>
        <v>0</v>
      </c>
      <c r="H110" s="494" t="e">
        <f>+G110/D110*100</f>
        <v>#DIV/0!</v>
      </c>
      <c r="I110" s="187" t="s">
        <v>209</v>
      </c>
      <c r="J110" s="68">
        <v>2250000</v>
      </c>
      <c r="K110" s="174" t="s">
        <v>146</v>
      </c>
      <c r="L110" s="69" t="s">
        <v>121</v>
      </c>
      <c r="M110" s="380">
        <v>4</v>
      </c>
      <c r="N110" s="380" t="s">
        <v>124</v>
      </c>
      <c r="O110" s="70" t="s">
        <v>136</v>
      </c>
      <c r="P110" s="68">
        <f>SUM(J110*M110)</f>
        <v>9000000</v>
      </c>
      <c r="Q110" s="71" t="s">
        <v>146</v>
      </c>
    </row>
    <row r="111" spans="1:17" ht="20.100000000000001" customHeight="1">
      <c r="A111" s="212"/>
      <c r="B111" s="219" t="s">
        <v>351</v>
      </c>
      <c r="C111" s="376" t="s">
        <v>166</v>
      </c>
      <c r="D111" s="378">
        <f>SUM(D112:D130)</f>
        <v>987289</v>
      </c>
      <c r="E111" s="354">
        <f>P111/1000</f>
        <v>1114919</v>
      </c>
      <c r="F111" s="362"/>
      <c r="G111" s="354">
        <f>E111-D111</f>
        <v>127630</v>
      </c>
      <c r="H111" s="220">
        <f>G111/D111*100</f>
        <v>12.92731915376349</v>
      </c>
      <c r="I111" s="351"/>
      <c r="J111" s="45"/>
      <c r="L111" s="46"/>
      <c r="M111" s="436"/>
      <c r="N111" s="436"/>
      <c r="O111" s="436"/>
      <c r="P111" s="45">
        <f>SUM(P112,P115,P117,P123,P125,P127,P129)</f>
        <v>1114919000</v>
      </c>
      <c r="Q111" s="71" t="s">
        <v>146</v>
      </c>
    </row>
    <row r="112" spans="1:17" ht="15.95" customHeight="1">
      <c r="A112" s="160"/>
      <c r="B112" s="213" t="s">
        <v>345</v>
      </c>
      <c r="C112" s="486" t="s">
        <v>270</v>
      </c>
      <c r="D112" s="542">
        <v>79600</v>
      </c>
      <c r="E112" s="498">
        <f>P112/1000</f>
        <v>75600</v>
      </c>
      <c r="F112" s="361"/>
      <c r="G112" s="498">
        <f>E112-D112</f>
        <v>-4000</v>
      </c>
      <c r="H112" s="492">
        <f>G112/D112*100</f>
        <v>-5.025125628140704</v>
      </c>
      <c r="I112" s="177"/>
      <c r="J112" s="52"/>
      <c r="K112" s="86"/>
      <c r="L112" s="51"/>
      <c r="M112" s="420" t="s">
        <v>159</v>
      </c>
      <c r="N112" s="420"/>
      <c r="O112" s="420"/>
      <c r="P112" s="52">
        <f>SUM(P113:P114)</f>
        <v>75600000</v>
      </c>
      <c r="Q112" s="37" t="s">
        <v>146</v>
      </c>
    </row>
    <row r="113" spans="1:17" ht="15.95" customHeight="1">
      <c r="A113" s="160"/>
      <c r="B113" s="221"/>
      <c r="C113" s="487"/>
      <c r="D113" s="544"/>
      <c r="E113" s="500"/>
      <c r="F113" s="362"/>
      <c r="G113" s="500"/>
      <c r="H113" s="493"/>
      <c r="I113" s="351" t="s">
        <v>418</v>
      </c>
      <c r="J113" s="45">
        <v>59500000</v>
      </c>
      <c r="K113" s="29" t="s">
        <v>146</v>
      </c>
      <c r="L113" s="46" t="s">
        <v>121</v>
      </c>
      <c r="M113" s="381">
        <v>1</v>
      </c>
      <c r="N113" s="381" t="s">
        <v>124</v>
      </c>
      <c r="O113" s="53" t="s">
        <v>136</v>
      </c>
      <c r="P113" s="45">
        <f>SUM(J113*M113)</f>
        <v>59500000</v>
      </c>
      <c r="Q113" s="47" t="s">
        <v>146</v>
      </c>
    </row>
    <row r="114" spans="1:17" ht="15.95" customHeight="1">
      <c r="A114" s="160"/>
      <c r="B114" s="221"/>
      <c r="C114" s="488"/>
      <c r="D114" s="543"/>
      <c r="E114" s="499"/>
      <c r="F114" s="365"/>
      <c r="G114" s="499"/>
      <c r="H114" s="493"/>
      <c r="I114" s="187" t="s">
        <v>419</v>
      </c>
      <c r="J114" s="68">
        <v>16100000</v>
      </c>
      <c r="K114" s="174" t="s">
        <v>146</v>
      </c>
      <c r="L114" s="69" t="s">
        <v>121</v>
      </c>
      <c r="M114" s="380">
        <v>1</v>
      </c>
      <c r="N114" s="380" t="s">
        <v>124</v>
      </c>
      <c r="O114" s="70" t="s">
        <v>136</v>
      </c>
      <c r="P114" s="68">
        <f>SUM(J114*M114)</f>
        <v>16100000</v>
      </c>
      <c r="Q114" s="71" t="s">
        <v>146</v>
      </c>
    </row>
    <row r="115" spans="1:17" ht="15.95" customHeight="1">
      <c r="A115" s="160"/>
      <c r="B115" s="326"/>
      <c r="C115" s="486" t="s">
        <v>251</v>
      </c>
      <c r="D115" s="542">
        <v>100</v>
      </c>
      <c r="E115" s="498">
        <f>+P115/1000</f>
        <v>100</v>
      </c>
      <c r="F115" s="519">
        <v>0</v>
      </c>
      <c r="G115" s="498">
        <f>+E115-D115</f>
        <v>0</v>
      </c>
      <c r="H115" s="501">
        <f>+G115/D115*100</f>
        <v>0</v>
      </c>
      <c r="I115" s="177"/>
      <c r="J115" s="52"/>
      <c r="K115" s="86"/>
      <c r="L115" s="51"/>
      <c r="M115" s="420" t="s">
        <v>159</v>
      </c>
      <c r="N115" s="420"/>
      <c r="O115" s="420"/>
      <c r="P115" s="52">
        <f>SUM(P116)</f>
        <v>100000</v>
      </c>
      <c r="Q115" s="37" t="s">
        <v>146</v>
      </c>
    </row>
    <row r="116" spans="1:17" ht="15.95" customHeight="1">
      <c r="A116" s="160"/>
      <c r="B116" s="326"/>
      <c r="C116" s="488"/>
      <c r="D116" s="543"/>
      <c r="E116" s="499"/>
      <c r="F116" s="522"/>
      <c r="G116" s="499"/>
      <c r="H116" s="503"/>
      <c r="I116" s="187" t="s">
        <v>0</v>
      </c>
      <c r="J116" s="68">
        <v>20000</v>
      </c>
      <c r="K116" s="174" t="s">
        <v>146</v>
      </c>
      <c r="L116" s="69" t="s">
        <v>121</v>
      </c>
      <c r="M116" s="380">
        <v>5</v>
      </c>
      <c r="N116" s="380" t="s">
        <v>124</v>
      </c>
      <c r="O116" s="70" t="s">
        <v>136</v>
      </c>
      <c r="P116" s="68">
        <f>SUM(J116*M116)</f>
        <v>100000</v>
      </c>
      <c r="Q116" s="71" t="s">
        <v>146</v>
      </c>
    </row>
    <row r="117" spans="1:17" ht="15.95" customHeight="1">
      <c r="A117" s="160"/>
      <c r="B117" s="221"/>
      <c r="C117" s="548" t="s">
        <v>70</v>
      </c>
      <c r="D117" s="542">
        <v>28089</v>
      </c>
      <c r="E117" s="498">
        <f>P117/1000</f>
        <v>28089</v>
      </c>
      <c r="F117" s="362"/>
      <c r="G117" s="498">
        <f>E117-D117</f>
        <v>0</v>
      </c>
      <c r="H117" s="501">
        <f>G117/D117*100</f>
        <v>0</v>
      </c>
      <c r="I117" s="351"/>
      <c r="J117" s="45"/>
      <c r="L117" s="46"/>
      <c r="M117" s="565" t="s">
        <v>159</v>
      </c>
      <c r="N117" s="565"/>
      <c r="O117" s="565"/>
      <c r="P117" s="45">
        <f>SUM(P118:P122)</f>
        <v>28089000</v>
      </c>
      <c r="Q117" s="47" t="s">
        <v>146</v>
      </c>
    </row>
    <row r="118" spans="1:17" ht="15.95" customHeight="1">
      <c r="A118" s="160"/>
      <c r="B118" s="221"/>
      <c r="C118" s="549"/>
      <c r="D118" s="544"/>
      <c r="E118" s="500"/>
      <c r="F118" s="362"/>
      <c r="G118" s="500"/>
      <c r="H118" s="502"/>
      <c r="I118" s="351" t="s">
        <v>259</v>
      </c>
      <c r="J118" s="45">
        <v>1134286</v>
      </c>
      <c r="K118" s="29" t="s">
        <v>146</v>
      </c>
      <c r="L118" s="46" t="s">
        <v>121</v>
      </c>
      <c r="M118" s="381">
        <v>7</v>
      </c>
      <c r="N118" s="381" t="s">
        <v>149</v>
      </c>
      <c r="O118" s="53" t="s">
        <v>136</v>
      </c>
      <c r="P118" s="294">
        <v>7940000</v>
      </c>
      <c r="Q118" s="47" t="s">
        <v>146</v>
      </c>
    </row>
    <row r="119" spans="1:17" ht="15.95" customHeight="1">
      <c r="A119" s="160"/>
      <c r="B119" s="221"/>
      <c r="C119" s="549"/>
      <c r="D119" s="544"/>
      <c r="E119" s="500"/>
      <c r="F119" s="362"/>
      <c r="G119" s="500"/>
      <c r="H119" s="502"/>
      <c r="I119" s="351" t="s">
        <v>305</v>
      </c>
      <c r="J119" s="45">
        <v>972714</v>
      </c>
      <c r="K119" s="29" t="s">
        <v>146</v>
      </c>
      <c r="L119" s="46" t="s">
        <v>121</v>
      </c>
      <c r="M119" s="381">
        <v>7</v>
      </c>
      <c r="N119" s="381" t="s">
        <v>149</v>
      </c>
      <c r="O119" s="53" t="s">
        <v>136</v>
      </c>
      <c r="P119" s="45">
        <v>6809000</v>
      </c>
      <c r="Q119" s="47" t="s">
        <v>146</v>
      </c>
    </row>
    <row r="120" spans="1:17" ht="15.95" customHeight="1">
      <c r="A120" s="160"/>
      <c r="B120" s="221"/>
      <c r="C120" s="549"/>
      <c r="D120" s="544"/>
      <c r="E120" s="500"/>
      <c r="F120" s="362"/>
      <c r="G120" s="500"/>
      <c r="H120" s="502"/>
      <c r="I120" s="351" t="s">
        <v>334</v>
      </c>
      <c r="J120" s="45">
        <v>614286</v>
      </c>
      <c r="K120" s="29" t="s">
        <v>146</v>
      </c>
      <c r="L120" s="46" t="s">
        <v>121</v>
      </c>
      <c r="M120" s="381">
        <v>7</v>
      </c>
      <c r="N120" s="381" t="s">
        <v>149</v>
      </c>
      <c r="O120" s="53" t="s">
        <v>136</v>
      </c>
      <c r="P120" s="45">
        <v>4300000</v>
      </c>
      <c r="Q120" s="47" t="s">
        <v>146</v>
      </c>
    </row>
    <row r="121" spans="1:17" ht="15.95" customHeight="1">
      <c r="A121" s="160"/>
      <c r="B121" s="221"/>
      <c r="C121" s="549"/>
      <c r="D121" s="544"/>
      <c r="E121" s="500"/>
      <c r="F121" s="362"/>
      <c r="G121" s="500"/>
      <c r="H121" s="502"/>
      <c r="I121" s="351" t="s">
        <v>279</v>
      </c>
      <c r="J121" s="45">
        <v>2600000</v>
      </c>
      <c r="K121" s="29" t="s">
        <v>146</v>
      </c>
      <c r="L121" s="46" t="s">
        <v>121</v>
      </c>
      <c r="M121" s="381">
        <v>1</v>
      </c>
      <c r="N121" s="381" t="s">
        <v>124</v>
      </c>
      <c r="O121" s="53" t="s">
        <v>136</v>
      </c>
      <c r="P121" s="45">
        <v>2600000</v>
      </c>
      <c r="Q121" s="47" t="s">
        <v>146</v>
      </c>
    </row>
    <row r="122" spans="1:17" ht="15.95" customHeight="1">
      <c r="A122" s="160"/>
      <c r="B122" s="221"/>
      <c r="C122" s="550"/>
      <c r="D122" s="543"/>
      <c r="E122" s="499"/>
      <c r="F122" s="362"/>
      <c r="G122" s="499"/>
      <c r="H122" s="503"/>
      <c r="I122" s="351" t="s">
        <v>102</v>
      </c>
      <c r="J122" s="45">
        <v>920000</v>
      </c>
      <c r="K122" s="29" t="s">
        <v>146</v>
      </c>
      <c r="L122" s="46" t="s">
        <v>121</v>
      </c>
      <c r="M122" s="381">
        <v>7</v>
      </c>
      <c r="N122" s="381" t="s">
        <v>149</v>
      </c>
      <c r="O122" s="53" t="s">
        <v>136</v>
      </c>
      <c r="P122" s="45">
        <v>6440000</v>
      </c>
      <c r="Q122" s="47" t="s">
        <v>146</v>
      </c>
    </row>
    <row r="123" spans="1:17" ht="15.95" customHeight="1">
      <c r="A123" s="160"/>
      <c r="B123" s="221"/>
      <c r="C123" s="556" t="s">
        <v>58</v>
      </c>
      <c r="D123" s="521">
        <v>34500</v>
      </c>
      <c r="E123" s="511">
        <f>+P123/1000</f>
        <v>34500</v>
      </c>
      <c r="F123" s="510">
        <v>0</v>
      </c>
      <c r="G123" s="511">
        <f>+E123-D123</f>
        <v>0</v>
      </c>
      <c r="H123" s="492">
        <f>+G123/D123*100</f>
        <v>0</v>
      </c>
      <c r="I123" s="170"/>
      <c r="J123" s="52"/>
      <c r="K123" s="86"/>
      <c r="L123" s="51"/>
      <c r="M123" s="420" t="s">
        <v>159</v>
      </c>
      <c r="N123" s="420"/>
      <c r="O123" s="420"/>
      <c r="P123" s="52">
        <f>SUM(P124:P124)</f>
        <v>34500000</v>
      </c>
      <c r="Q123" s="37" t="s">
        <v>146</v>
      </c>
    </row>
    <row r="124" spans="1:17" ht="15.95" customHeight="1">
      <c r="A124" s="160"/>
      <c r="B124" s="221"/>
      <c r="C124" s="554"/>
      <c r="D124" s="521"/>
      <c r="E124" s="511"/>
      <c r="F124" s="510"/>
      <c r="G124" s="511"/>
      <c r="H124" s="494"/>
      <c r="I124" s="173" t="s">
        <v>76</v>
      </c>
      <c r="J124" s="68">
        <v>1916667</v>
      </c>
      <c r="K124" s="174" t="s">
        <v>146</v>
      </c>
      <c r="L124" s="69" t="s">
        <v>121</v>
      </c>
      <c r="M124" s="380">
        <v>18</v>
      </c>
      <c r="N124" s="380" t="s">
        <v>124</v>
      </c>
      <c r="O124" s="70" t="s">
        <v>136</v>
      </c>
      <c r="P124" s="68">
        <v>34500000</v>
      </c>
      <c r="Q124" s="71" t="s">
        <v>146</v>
      </c>
    </row>
    <row r="125" spans="1:17" ht="15.95" customHeight="1">
      <c r="A125" s="222"/>
      <c r="B125" s="213"/>
      <c r="C125" s="552" t="s">
        <v>65</v>
      </c>
      <c r="D125" s="542">
        <v>100000</v>
      </c>
      <c r="E125" s="498">
        <f>P125/1000</f>
        <v>128000</v>
      </c>
      <c r="F125" s="224"/>
      <c r="G125" s="584">
        <f>E125-D125</f>
        <v>28000</v>
      </c>
      <c r="H125" s="501">
        <f>+G125/D125*100</f>
        <v>28.000000000000004</v>
      </c>
      <c r="I125" s="225"/>
      <c r="J125" s="86"/>
      <c r="K125" s="86"/>
      <c r="L125" s="86"/>
      <c r="M125" s="420" t="s">
        <v>159</v>
      </c>
      <c r="N125" s="420"/>
      <c r="O125" s="420"/>
      <c r="P125" s="36">
        <f>SUM(P126:P126)</f>
        <v>128000000</v>
      </c>
      <c r="Q125" s="37" t="s">
        <v>146</v>
      </c>
    </row>
    <row r="126" spans="1:17" ht="15.95" customHeight="1">
      <c r="A126" s="212"/>
      <c r="B126" s="213"/>
      <c r="C126" s="555"/>
      <c r="D126" s="544"/>
      <c r="E126" s="500"/>
      <c r="F126" s="226"/>
      <c r="G126" s="586"/>
      <c r="H126" s="502"/>
      <c r="I126" s="179" t="s">
        <v>404</v>
      </c>
      <c r="J126" s="45">
        <v>4000000</v>
      </c>
      <c r="K126" s="29" t="s">
        <v>146</v>
      </c>
      <c r="L126" s="46" t="s">
        <v>121</v>
      </c>
      <c r="M126" s="381">
        <v>32</v>
      </c>
      <c r="N126" s="381" t="s">
        <v>124</v>
      </c>
      <c r="O126" s="53" t="s">
        <v>136</v>
      </c>
      <c r="P126" s="45">
        <f>SUM(J126*M126)</f>
        <v>128000000</v>
      </c>
      <c r="Q126" s="47" t="s">
        <v>146</v>
      </c>
    </row>
    <row r="127" spans="1:17" ht="15.95" customHeight="1">
      <c r="A127" s="160"/>
      <c r="B127" s="221"/>
      <c r="C127" s="548" t="s">
        <v>24</v>
      </c>
      <c r="D127" s="542">
        <v>25000</v>
      </c>
      <c r="E127" s="498">
        <f>P127/1000</f>
        <v>0</v>
      </c>
      <c r="F127" s="519">
        <v>-1</v>
      </c>
      <c r="G127" s="498">
        <f>+E127-D127</f>
        <v>-25000</v>
      </c>
      <c r="H127" s="501">
        <f>+G127/D127*100</f>
        <v>-100</v>
      </c>
      <c r="I127" s="177"/>
      <c r="J127" s="52"/>
      <c r="K127" s="86"/>
      <c r="L127" s="51"/>
      <c r="M127" s="420" t="s">
        <v>159</v>
      </c>
      <c r="N127" s="420"/>
      <c r="O127" s="420"/>
      <c r="P127" s="52">
        <f>SUM(P128:P128)</f>
        <v>0</v>
      </c>
      <c r="Q127" s="37" t="s">
        <v>146</v>
      </c>
    </row>
    <row r="128" spans="1:17" ht="15.95" customHeight="1">
      <c r="A128" s="160"/>
      <c r="B128" s="221"/>
      <c r="C128" s="487"/>
      <c r="D128" s="544"/>
      <c r="E128" s="500"/>
      <c r="F128" s="520"/>
      <c r="G128" s="500"/>
      <c r="H128" s="502"/>
      <c r="I128" s="351" t="s">
        <v>26</v>
      </c>
      <c r="J128" s="45"/>
      <c r="K128" s="29" t="s">
        <v>146</v>
      </c>
      <c r="L128" s="46" t="s">
        <v>121</v>
      </c>
      <c r="N128" s="381" t="s">
        <v>124</v>
      </c>
      <c r="O128" s="53" t="s">
        <v>136</v>
      </c>
      <c r="P128" s="45">
        <f>J128*M128</f>
        <v>0</v>
      </c>
      <c r="Q128" s="47" t="s">
        <v>146</v>
      </c>
    </row>
    <row r="129" spans="1:17" ht="15.95" customHeight="1">
      <c r="A129" s="160"/>
      <c r="B129" s="326"/>
      <c r="C129" s="486" t="s">
        <v>189</v>
      </c>
      <c r="D129" s="542">
        <v>720000</v>
      </c>
      <c r="E129" s="498">
        <f>(P129/1000)</f>
        <v>848630</v>
      </c>
      <c r="F129" s="361">
        <v>83961</v>
      </c>
      <c r="G129" s="498">
        <f>E129-D129</f>
        <v>128630</v>
      </c>
      <c r="H129" s="501">
        <f>G129/D129*100</f>
        <v>17.865277777777777</v>
      </c>
      <c r="I129" s="193"/>
      <c r="J129" s="52"/>
      <c r="K129" s="86"/>
      <c r="L129" s="51"/>
      <c r="M129" s="420" t="s">
        <v>159</v>
      </c>
      <c r="N129" s="420"/>
      <c r="O129" s="420"/>
      <c r="P129" s="52">
        <f>SUM(P130:P131)</f>
        <v>848630000</v>
      </c>
      <c r="Q129" s="37" t="s">
        <v>146</v>
      </c>
    </row>
    <row r="130" spans="1:17" ht="15.95" customHeight="1">
      <c r="A130" s="160"/>
      <c r="B130" s="326"/>
      <c r="C130" s="487"/>
      <c r="D130" s="544"/>
      <c r="E130" s="500"/>
      <c r="F130" s="365"/>
      <c r="G130" s="500"/>
      <c r="H130" s="502"/>
      <c r="I130" s="595" t="s">
        <v>460</v>
      </c>
      <c r="J130" s="45">
        <v>128630000</v>
      </c>
      <c r="K130" s="29" t="s">
        <v>146</v>
      </c>
      <c r="L130" s="46" t="s">
        <v>121</v>
      </c>
      <c r="M130" s="381">
        <v>1</v>
      </c>
      <c r="N130" s="381" t="s">
        <v>124</v>
      </c>
      <c r="O130" s="53" t="s">
        <v>138</v>
      </c>
      <c r="P130" s="45">
        <f>J130*M130</f>
        <v>128630000</v>
      </c>
      <c r="Q130" s="47" t="s">
        <v>146</v>
      </c>
    </row>
    <row r="131" spans="1:17" ht="15.95" customHeight="1">
      <c r="A131" s="227"/>
      <c r="B131" s="338"/>
      <c r="C131" s="488"/>
      <c r="D131" s="543"/>
      <c r="E131" s="499"/>
      <c r="F131" s="365"/>
      <c r="G131" s="499"/>
      <c r="H131" s="503"/>
      <c r="I131" s="228" t="s">
        <v>112</v>
      </c>
      <c r="J131" s="68">
        <v>60000000</v>
      </c>
      <c r="K131" s="174" t="s">
        <v>146</v>
      </c>
      <c r="L131" s="69" t="s">
        <v>121</v>
      </c>
      <c r="M131" s="380">
        <v>12</v>
      </c>
      <c r="N131" s="380" t="s">
        <v>124</v>
      </c>
      <c r="O131" s="70" t="s">
        <v>138</v>
      </c>
      <c r="P131" s="68">
        <f>J131*M131</f>
        <v>720000000</v>
      </c>
      <c r="Q131" s="71" t="s">
        <v>146</v>
      </c>
    </row>
    <row r="132" spans="1:17" ht="20.100000000000001" customHeight="1">
      <c r="A132" s="222" t="s">
        <v>447</v>
      </c>
      <c r="B132" s="219" t="s">
        <v>274</v>
      </c>
      <c r="C132" s="345" t="s">
        <v>166</v>
      </c>
      <c r="D132" s="388">
        <f>SUM(D133:D147)</f>
        <v>135535</v>
      </c>
      <c r="E132" s="388">
        <f>P132/1000</f>
        <v>138645</v>
      </c>
      <c r="F132" s="379">
        <f>SUM(F141:F146)</f>
        <v>4163</v>
      </c>
      <c r="G132" s="388">
        <f>+E132-D132</f>
        <v>3110</v>
      </c>
      <c r="H132" s="368">
        <f>G132/D132*100</f>
        <v>2.2946102482753532</v>
      </c>
      <c r="I132" s="229"/>
      <c r="J132" s="117"/>
      <c r="K132" s="60"/>
      <c r="L132" s="118"/>
      <c r="M132" s="347"/>
      <c r="N132" s="347"/>
      <c r="O132" s="119"/>
      <c r="P132" s="117">
        <f>SUM(P133,P135,P138,P141)</f>
        <v>138645000</v>
      </c>
      <c r="Q132" s="83" t="s">
        <v>146</v>
      </c>
    </row>
    <row r="133" spans="1:17" ht="15.95" customHeight="1">
      <c r="A133" s="222"/>
      <c r="B133" s="213" t="s">
        <v>285</v>
      </c>
      <c r="C133" s="556" t="s">
        <v>104</v>
      </c>
      <c r="D133" s="511">
        <v>12000</v>
      </c>
      <c r="E133" s="511">
        <f>P133/1000</f>
        <v>12000</v>
      </c>
      <c r="F133" s="510">
        <v>-1</v>
      </c>
      <c r="G133" s="511">
        <f>+E133-D133</f>
        <v>0</v>
      </c>
      <c r="H133" s="518">
        <v>0</v>
      </c>
      <c r="I133" s="177"/>
      <c r="J133" s="52"/>
      <c r="K133" s="86"/>
      <c r="L133" s="51"/>
      <c r="M133" s="420" t="s">
        <v>159</v>
      </c>
      <c r="N133" s="420"/>
      <c r="O133" s="420"/>
      <c r="P133" s="52">
        <f>SUM(P134:P134)</f>
        <v>12000000</v>
      </c>
      <c r="Q133" s="37" t="s">
        <v>146</v>
      </c>
    </row>
    <row r="134" spans="1:17" ht="15.95" customHeight="1">
      <c r="A134" s="222"/>
      <c r="B134" s="213"/>
      <c r="C134" s="554"/>
      <c r="D134" s="511"/>
      <c r="E134" s="511"/>
      <c r="F134" s="510"/>
      <c r="G134" s="511"/>
      <c r="H134" s="518"/>
      <c r="I134" s="135" t="s">
        <v>182</v>
      </c>
      <c r="J134" s="45">
        <v>1200000</v>
      </c>
      <c r="K134" s="29" t="s">
        <v>146</v>
      </c>
      <c r="L134" s="46" t="s">
        <v>121</v>
      </c>
      <c r="M134" s="381">
        <v>10</v>
      </c>
      <c r="N134" s="381" t="s">
        <v>124</v>
      </c>
      <c r="O134" s="53" t="s">
        <v>136</v>
      </c>
      <c r="P134" s="45">
        <f>J134*M134</f>
        <v>12000000</v>
      </c>
      <c r="Q134" s="47" t="s">
        <v>146</v>
      </c>
    </row>
    <row r="135" spans="1:17" ht="15.95" customHeight="1">
      <c r="A135" s="222"/>
      <c r="B135" s="213"/>
      <c r="C135" s="486" t="s">
        <v>95</v>
      </c>
      <c r="D135" s="498">
        <v>110000</v>
      </c>
      <c r="E135" s="498">
        <f>P135/1000</f>
        <v>110000</v>
      </c>
      <c r="F135" s="379"/>
      <c r="G135" s="498">
        <f>+E135-D135</f>
        <v>0</v>
      </c>
      <c r="H135" s="501">
        <f>G135/D135*100</f>
        <v>0</v>
      </c>
      <c r="I135" s="177"/>
      <c r="J135" s="52"/>
      <c r="K135" s="86"/>
      <c r="L135" s="51"/>
      <c r="M135" s="420" t="s">
        <v>159</v>
      </c>
      <c r="N135" s="420"/>
      <c r="O135" s="420"/>
      <c r="P135" s="52">
        <f>SUM(P136:P137)</f>
        <v>110000000</v>
      </c>
      <c r="Q135" s="37" t="s">
        <v>146</v>
      </c>
    </row>
    <row r="136" spans="1:17" ht="15.95" customHeight="1">
      <c r="A136" s="222"/>
      <c r="B136" s="213"/>
      <c r="C136" s="487"/>
      <c r="D136" s="500"/>
      <c r="E136" s="500"/>
      <c r="F136" s="379"/>
      <c r="G136" s="500"/>
      <c r="H136" s="502"/>
      <c r="I136" s="351" t="s">
        <v>95</v>
      </c>
      <c r="J136" s="45">
        <v>5000000</v>
      </c>
      <c r="K136" s="29" t="s">
        <v>146</v>
      </c>
      <c r="L136" s="46" t="s">
        <v>121</v>
      </c>
      <c r="M136" s="381">
        <v>12</v>
      </c>
      <c r="N136" s="381" t="s">
        <v>129</v>
      </c>
      <c r="O136" s="53" t="s">
        <v>136</v>
      </c>
      <c r="P136" s="45">
        <f>J136*M136</f>
        <v>60000000</v>
      </c>
      <c r="Q136" s="47" t="s">
        <v>146</v>
      </c>
    </row>
    <row r="137" spans="1:17" ht="15.95" customHeight="1">
      <c r="A137" s="222"/>
      <c r="B137" s="213"/>
      <c r="C137" s="488"/>
      <c r="D137" s="499"/>
      <c r="E137" s="499"/>
      <c r="F137" s="379"/>
      <c r="G137" s="499"/>
      <c r="H137" s="503"/>
      <c r="I137" s="351" t="s">
        <v>410</v>
      </c>
      <c r="J137" s="45">
        <v>5000000</v>
      </c>
      <c r="K137" s="29" t="s">
        <v>146</v>
      </c>
      <c r="L137" s="46" t="s">
        <v>121</v>
      </c>
      <c r="M137" s="381">
        <v>10</v>
      </c>
      <c r="N137" s="381" t="s">
        <v>411</v>
      </c>
      <c r="O137" s="53" t="s">
        <v>136</v>
      </c>
      <c r="P137" s="45">
        <f>J137*M137</f>
        <v>50000000</v>
      </c>
      <c r="Q137" s="47" t="s">
        <v>146</v>
      </c>
    </row>
    <row r="138" spans="1:17" ht="15.95" customHeight="1">
      <c r="A138" s="222"/>
      <c r="B138" s="213"/>
      <c r="C138" s="556" t="s">
        <v>105</v>
      </c>
      <c r="D138" s="511">
        <v>4090</v>
      </c>
      <c r="E138" s="511">
        <f>P138/1000</f>
        <v>7200</v>
      </c>
      <c r="F138" s="379"/>
      <c r="G138" s="511">
        <f>E138-D138</f>
        <v>3110</v>
      </c>
      <c r="H138" s="518">
        <f>G138/D138*100</f>
        <v>76.039119804400983</v>
      </c>
      <c r="I138" s="177"/>
      <c r="J138" s="52"/>
      <c r="K138" s="86"/>
      <c r="L138" s="51"/>
      <c r="M138" s="420" t="s">
        <v>159</v>
      </c>
      <c r="N138" s="420"/>
      <c r="O138" s="420"/>
      <c r="P138" s="52">
        <f>SUM(P139:P140)</f>
        <v>7200000</v>
      </c>
      <c r="Q138" s="37" t="s">
        <v>146</v>
      </c>
    </row>
    <row r="139" spans="1:17" ht="15.95" customHeight="1">
      <c r="A139" s="222"/>
      <c r="B139" s="213"/>
      <c r="C139" s="556"/>
      <c r="D139" s="511"/>
      <c r="E139" s="511"/>
      <c r="F139" s="379"/>
      <c r="G139" s="511"/>
      <c r="H139" s="518"/>
      <c r="I139" s="195" t="s">
        <v>433</v>
      </c>
      <c r="J139" s="45">
        <v>1600000</v>
      </c>
      <c r="K139" s="29" t="s">
        <v>146</v>
      </c>
      <c r="L139" s="46" t="s">
        <v>121</v>
      </c>
      <c r="M139" s="381">
        <v>2</v>
      </c>
      <c r="N139" s="381" t="s">
        <v>124</v>
      </c>
      <c r="P139" s="45">
        <f>SUM(J139*M139)</f>
        <v>3200000</v>
      </c>
      <c r="Q139" s="47" t="s">
        <v>146</v>
      </c>
    </row>
    <row r="140" spans="1:17" ht="15.95" customHeight="1">
      <c r="A140" s="222"/>
      <c r="B140" s="213"/>
      <c r="C140" s="556"/>
      <c r="D140" s="511"/>
      <c r="E140" s="511"/>
      <c r="F140" s="379"/>
      <c r="G140" s="511"/>
      <c r="H140" s="518"/>
      <c r="I140" s="351" t="s">
        <v>101</v>
      </c>
      <c r="J140" s="68">
        <v>200000</v>
      </c>
      <c r="K140" s="174" t="s">
        <v>146</v>
      </c>
      <c r="L140" s="69" t="s">
        <v>121</v>
      </c>
      <c r="M140" s="380">
        <v>20</v>
      </c>
      <c r="N140" s="380" t="s">
        <v>124</v>
      </c>
      <c r="O140" s="380"/>
      <c r="P140" s="68">
        <f>SUM(J140*M140)</f>
        <v>4000000</v>
      </c>
      <c r="Q140" s="71" t="s">
        <v>146</v>
      </c>
    </row>
    <row r="141" spans="1:17" ht="15.95" customHeight="1">
      <c r="A141" s="160"/>
      <c r="B141" s="213"/>
      <c r="C141" s="548" t="s">
        <v>288</v>
      </c>
      <c r="D141" s="498">
        <v>9445</v>
      </c>
      <c r="E141" s="498">
        <f>+P141/1000</f>
        <v>9445</v>
      </c>
      <c r="F141" s="519">
        <v>4163</v>
      </c>
      <c r="G141" s="498">
        <f>+E141-D141</f>
        <v>0</v>
      </c>
      <c r="H141" s="501">
        <f>G141/D141*100</f>
        <v>0</v>
      </c>
      <c r="I141" s="41"/>
      <c r="J141" s="52"/>
      <c r="K141" s="86"/>
      <c r="L141" s="51"/>
      <c r="M141" s="420" t="s">
        <v>159</v>
      </c>
      <c r="N141" s="420"/>
      <c r="O141" s="420"/>
      <c r="P141" s="52">
        <f>SUM(P142,P147)</f>
        <v>9445000</v>
      </c>
      <c r="Q141" s="37" t="s">
        <v>146</v>
      </c>
    </row>
    <row r="142" spans="1:17" ht="15.95" customHeight="1">
      <c r="A142" s="160"/>
      <c r="B142" s="343"/>
      <c r="C142" s="549"/>
      <c r="D142" s="500"/>
      <c r="E142" s="500"/>
      <c r="F142" s="520"/>
      <c r="G142" s="500"/>
      <c r="H142" s="502"/>
      <c r="I142" s="230" t="s">
        <v>252</v>
      </c>
      <c r="J142" s="295"/>
      <c r="K142" s="296"/>
      <c r="L142" s="297"/>
      <c r="M142" s="298"/>
      <c r="N142" s="298"/>
      <c r="O142" s="106"/>
      <c r="P142" s="45">
        <f>SUM(P143:P146)</f>
        <v>9245000</v>
      </c>
      <c r="Q142" s="47" t="s">
        <v>146</v>
      </c>
    </row>
    <row r="143" spans="1:17" ht="15.95" customHeight="1">
      <c r="A143" s="160"/>
      <c r="B143" s="326"/>
      <c r="C143" s="549"/>
      <c r="D143" s="500"/>
      <c r="E143" s="500"/>
      <c r="F143" s="520"/>
      <c r="G143" s="500"/>
      <c r="H143" s="502"/>
      <c r="I143" s="49" t="s">
        <v>9</v>
      </c>
      <c r="J143" s="45">
        <v>600000</v>
      </c>
      <c r="K143" s="29" t="s">
        <v>146</v>
      </c>
      <c r="L143" s="46" t="s">
        <v>121</v>
      </c>
      <c r="M143" s="381">
        <v>1</v>
      </c>
      <c r="N143" s="381" t="s">
        <v>124</v>
      </c>
      <c r="O143" s="53" t="s">
        <v>136</v>
      </c>
      <c r="P143" s="45">
        <f>SUM(J143*M143)</f>
        <v>600000</v>
      </c>
      <c r="Q143" s="47" t="s">
        <v>146</v>
      </c>
    </row>
    <row r="144" spans="1:17" ht="15.95" customHeight="1">
      <c r="A144" s="160"/>
      <c r="B144" s="326"/>
      <c r="C144" s="549"/>
      <c r="D144" s="500"/>
      <c r="E144" s="500"/>
      <c r="F144" s="520"/>
      <c r="G144" s="500"/>
      <c r="H144" s="502"/>
      <c r="I144" s="49" t="s">
        <v>2</v>
      </c>
      <c r="J144" s="45">
        <v>7095000</v>
      </c>
      <c r="K144" s="29" t="s">
        <v>146</v>
      </c>
      <c r="L144" s="46" t="s">
        <v>121</v>
      </c>
      <c r="M144" s="381">
        <v>1</v>
      </c>
      <c r="N144" s="381" t="s">
        <v>124</v>
      </c>
      <c r="O144" s="53" t="s">
        <v>136</v>
      </c>
      <c r="P144" s="45">
        <f>SUM(J144*M144)</f>
        <v>7095000</v>
      </c>
      <c r="Q144" s="47" t="s">
        <v>146</v>
      </c>
    </row>
    <row r="145" spans="1:17" ht="15.95" customHeight="1">
      <c r="A145" s="212"/>
      <c r="B145" s="223"/>
      <c r="C145" s="549"/>
      <c r="D145" s="500"/>
      <c r="E145" s="500"/>
      <c r="F145" s="520"/>
      <c r="G145" s="500"/>
      <c r="H145" s="502"/>
      <c r="I145" s="175" t="s">
        <v>377</v>
      </c>
      <c r="J145" s="45">
        <v>400000</v>
      </c>
      <c r="K145" s="29" t="s">
        <v>146</v>
      </c>
      <c r="L145" s="46" t="s">
        <v>121</v>
      </c>
      <c r="M145" s="381">
        <v>1</v>
      </c>
      <c r="N145" s="381" t="s">
        <v>124</v>
      </c>
      <c r="O145" s="53"/>
      <c r="P145" s="45">
        <f>SUM(J145*M145)</f>
        <v>400000</v>
      </c>
      <c r="Q145" s="47" t="s">
        <v>146</v>
      </c>
    </row>
    <row r="146" spans="1:17" ht="15.95" customHeight="1">
      <c r="A146" s="160"/>
      <c r="B146" s="326"/>
      <c r="C146" s="549"/>
      <c r="D146" s="500"/>
      <c r="E146" s="500"/>
      <c r="F146" s="520"/>
      <c r="G146" s="500"/>
      <c r="H146" s="502"/>
      <c r="I146" s="350" t="s">
        <v>66</v>
      </c>
      <c r="J146" s="45">
        <v>230000</v>
      </c>
      <c r="K146" s="29" t="s">
        <v>146</v>
      </c>
      <c r="L146" s="46" t="s">
        <v>121</v>
      </c>
      <c r="M146" s="381">
        <v>5</v>
      </c>
      <c r="N146" s="381" t="s">
        <v>124</v>
      </c>
      <c r="P146" s="45">
        <f>SUM(J146*M146)</f>
        <v>1150000</v>
      </c>
      <c r="Q146" s="47" t="s">
        <v>146</v>
      </c>
    </row>
    <row r="147" spans="1:17" ht="15.95" customHeight="1">
      <c r="A147" s="160"/>
      <c r="B147" s="326"/>
      <c r="C147" s="549"/>
      <c r="D147" s="500"/>
      <c r="E147" s="500"/>
      <c r="F147" s="362"/>
      <c r="G147" s="500"/>
      <c r="H147" s="502"/>
      <c r="I147" s="306" t="s">
        <v>106</v>
      </c>
      <c r="J147" s="45">
        <v>100000</v>
      </c>
      <c r="K147" s="29" t="s">
        <v>146</v>
      </c>
      <c r="L147" s="46" t="s">
        <v>121</v>
      </c>
      <c r="M147" s="381">
        <v>2</v>
      </c>
      <c r="N147" s="381" t="s">
        <v>124</v>
      </c>
      <c r="P147" s="45">
        <f>SUM(J147*M147)</f>
        <v>200000</v>
      </c>
      <c r="Q147" s="47" t="s">
        <v>146</v>
      </c>
    </row>
    <row r="148" spans="1:17" ht="20.100000000000001" customHeight="1">
      <c r="A148" s="227"/>
      <c r="B148" s="219" t="s">
        <v>274</v>
      </c>
      <c r="C148" s="382" t="s">
        <v>344</v>
      </c>
      <c r="D148" s="374">
        <f>SUM(D149:D153)</f>
        <v>175880</v>
      </c>
      <c r="E148" s="357">
        <f>SUM(E149:E153)</f>
        <v>70880</v>
      </c>
      <c r="F148" s="361"/>
      <c r="G148" s="357">
        <f>E148-D148</f>
        <v>-105000</v>
      </c>
      <c r="H148" s="360">
        <f>G148/D148*100</f>
        <v>-59.69979531498749</v>
      </c>
      <c r="I148" s="231"/>
      <c r="J148" s="120"/>
      <c r="K148" s="60"/>
      <c r="L148" s="118"/>
      <c r="M148" s="347"/>
      <c r="N148" s="347"/>
      <c r="O148" s="347"/>
      <c r="P148" s="120">
        <f>SUM(P149,P152)</f>
        <v>70880000</v>
      </c>
      <c r="Q148" s="47" t="s">
        <v>146</v>
      </c>
    </row>
    <row r="149" spans="1:17" ht="16.5" customHeight="1">
      <c r="A149" s="227"/>
      <c r="B149" s="213" t="s">
        <v>293</v>
      </c>
      <c r="C149" s="554" t="s">
        <v>254</v>
      </c>
      <c r="D149" s="521">
        <v>10880</v>
      </c>
      <c r="E149" s="511">
        <f>P149/1000</f>
        <v>10880</v>
      </c>
      <c r="F149" s="510">
        <v>80151</v>
      </c>
      <c r="G149" s="511">
        <f>+E149-D149</f>
        <v>0</v>
      </c>
      <c r="H149" s="569">
        <f>+G149/D149*100</f>
        <v>0</v>
      </c>
      <c r="I149" s="41"/>
      <c r="J149" s="52"/>
      <c r="K149" s="86"/>
      <c r="L149" s="51"/>
      <c r="M149" s="420" t="s">
        <v>159</v>
      </c>
      <c r="N149" s="420"/>
      <c r="O149" s="420"/>
      <c r="P149" s="52">
        <f>SUM(P150:P151)</f>
        <v>10880000</v>
      </c>
      <c r="Q149" s="37" t="s">
        <v>146</v>
      </c>
    </row>
    <row r="150" spans="1:17" ht="16.5" customHeight="1">
      <c r="A150" s="160"/>
      <c r="B150" s="326"/>
      <c r="C150" s="554"/>
      <c r="D150" s="521"/>
      <c r="E150" s="511"/>
      <c r="F150" s="510"/>
      <c r="G150" s="511"/>
      <c r="H150" s="569"/>
      <c r="I150" s="299" t="s">
        <v>50</v>
      </c>
      <c r="J150" s="45">
        <v>880000</v>
      </c>
      <c r="K150" s="29" t="s">
        <v>146</v>
      </c>
      <c r="L150" s="46" t="s">
        <v>121</v>
      </c>
      <c r="M150" s="381">
        <v>1</v>
      </c>
      <c r="N150" s="381" t="s">
        <v>124</v>
      </c>
      <c r="O150" s="53" t="s">
        <v>136</v>
      </c>
      <c r="P150" s="45">
        <f>SUM(J150*M150)</f>
        <v>880000</v>
      </c>
      <c r="Q150" s="47" t="s">
        <v>146</v>
      </c>
    </row>
    <row r="151" spans="1:17" ht="16.5" customHeight="1">
      <c r="A151" s="160"/>
      <c r="B151" s="326"/>
      <c r="C151" s="554"/>
      <c r="D151" s="521"/>
      <c r="E151" s="511"/>
      <c r="F151" s="510"/>
      <c r="G151" s="511"/>
      <c r="H151" s="492"/>
      <c r="I151" s="307" t="s">
        <v>261</v>
      </c>
      <c r="J151" s="68">
        <v>5000000</v>
      </c>
      <c r="K151" s="174" t="s">
        <v>146</v>
      </c>
      <c r="L151" s="69" t="s">
        <v>121</v>
      </c>
      <c r="M151" s="380">
        <v>2</v>
      </c>
      <c r="N151" s="380" t="s">
        <v>434</v>
      </c>
      <c r="O151" s="70" t="s">
        <v>136</v>
      </c>
      <c r="P151" s="68">
        <f>SUM(J151*M151)</f>
        <v>10000000</v>
      </c>
      <c r="Q151" s="71" t="s">
        <v>146</v>
      </c>
    </row>
    <row r="152" spans="1:17" ht="15.95" customHeight="1">
      <c r="A152" s="212"/>
      <c r="B152" s="343"/>
      <c r="C152" s="552" t="s">
        <v>48</v>
      </c>
      <c r="D152" s="521">
        <v>165000</v>
      </c>
      <c r="E152" s="511">
        <f>+P152/1000</f>
        <v>60000</v>
      </c>
      <c r="F152" s="379"/>
      <c r="G152" s="504">
        <f>+E152-D152</f>
        <v>-105000</v>
      </c>
      <c r="H152" s="492">
        <f>+G152/D152*100</f>
        <v>-63.636363636363633</v>
      </c>
      <c r="I152" s="177"/>
      <c r="J152" s="52"/>
      <c r="K152" s="86"/>
      <c r="L152" s="51"/>
      <c r="M152" s="420" t="s">
        <v>159</v>
      </c>
      <c r="N152" s="420"/>
      <c r="O152" s="420"/>
      <c r="P152" s="52">
        <f>SUM(P153:P153)</f>
        <v>60000000</v>
      </c>
      <c r="Q152" s="37" t="s">
        <v>146</v>
      </c>
    </row>
    <row r="153" spans="1:17" ht="15.95" customHeight="1">
      <c r="A153" s="222"/>
      <c r="B153" s="66"/>
      <c r="C153" s="553"/>
      <c r="D153" s="521"/>
      <c r="E153" s="511"/>
      <c r="F153" s="379"/>
      <c r="G153" s="504"/>
      <c r="H153" s="494"/>
      <c r="I153" s="187" t="s">
        <v>48</v>
      </c>
      <c r="J153" s="68">
        <v>6000000</v>
      </c>
      <c r="K153" s="174" t="s">
        <v>146</v>
      </c>
      <c r="L153" s="69" t="s">
        <v>121</v>
      </c>
      <c r="M153" s="380">
        <v>10</v>
      </c>
      <c r="N153" s="380" t="s">
        <v>124</v>
      </c>
      <c r="O153" s="70" t="s">
        <v>136</v>
      </c>
      <c r="P153" s="68">
        <f>J153*M153</f>
        <v>60000000</v>
      </c>
      <c r="Q153" s="71" t="s">
        <v>146</v>
      </c>
    </row>
    <row r="154" spans="1:17" ht="20.100000000000001" customHeight="1">
      <c r="A154" s="232"/>
      <c r="B154" s="31" t="s">
        <v>342</v>
      </c>
      <c r="C154" s="375" t="s">
        <v>166</v>
      </c>
      <c r="D154" s="363">
        <f>+D155+D160</f>
        <v>20385</v>
      </c>
      <c r="E154" s="355">
        <f>SUM(E155:E161)</f>
        <v>14235</v>
      </c>
      <c r="F154" s="361" t="e">
        <f>+#REF!+F155+#REF!+#REF!+F160</f>
        <v>#REF!</v>
      </c>
      <c r="G154" s="355">
        <f>+E154-D154</f>
        <v>-6150</v>
      </c>
      <c r="H154" s="353">
        <f>+G154/D154*100</f>
        <v>-30.169242089771892</v>
      </c>
      <c r="I154" s="177"/>
      <c r="J154" s="42"/>
      <c r="K154" s="86"/>
      <c r="L154" s="51"/>
      <c r="M154" s="330"/>
      <c r="N154" s="330"/>
      <c r="O154" s="121"/>
      <c r="P154" s="42">
        <f>SUM(P155,P160)</f>
        <v>14235000</v>
      </c>
      <c r="Q154" s="37" t="s">
        <v>146</v>
      </c>
    </row>
    <row r="155" spans="1:17" ht="15.95" customHeight="1">
      <c r="A155" s="160"/>
      <c r="B155" s="326"/>
      <c r="C155" s="548" t="s">
        <v>407</v>
      </c>
      <c r="D155" s="542">
        <v>19985</v>
      </c>
      <c r="E155" s="498">
        <f>P155/1000</f>
        <v>13635</v>
      </c>
      <c r="F155" s="519">
        <v>14521</v>
      </c>
      <c r="G155" s="498">
        <f>+E155-D155</f>
        <v>-6350</v>
      </c>
      <c r="H155" s="501">
        <f>+G155/D155*100</f>
        <v>-31.773830372779582</v>
      </c>
      <c r="I155" s="177"/>
      <c r="J155" s="52"/>
      <c r="K155" s="86"/>
      <c r="L155" s="51"/>
      <c r="M155" s="420" t="s">
        <v>159</v>
      </c>
      <c r="N155" s="420"/>
      <c r="O155" s="420"/>
      <c r="P155" s="52">
        <f>SUM(P156:P159)</f>
        <v>13635000</v>
      </c>
      <c r="Q155" s="37" t="s">
        <v>146</v>
      </c>
    </row>
    <row r="156" spans="1:17" ht="15.95" customHeight="1">
      <c r="A156" s="160"/>
      <c r="B156" s="326"/>
      <c r="C156" s="549"/>
      <c r="D156" s="544"/>
      <c r="E156" s="500"/>
      <c r="F156" s="520"/>
      <c r="G156" s="500"/>
      <c r="H156" s="502"/>
      <c r="I156" s="195" t="s">
        <v>67</v>
      </c>
      <c r="J156" s="45">
        <v>3830000</v>
      </c>
      <c r="K156" s="29" t="s">
        <v>146</v>
      </c>
      <c r="L156" s="46" t="s">
        <v>121</v>
      </c>
      <c r="M156" s="381">
        <v>1</v>
      </c>
      <c r="N156" s="381" t="s">
        <v>124</v>
      </c>
      <c r="O156" s="53" t="s">
        <v>136</v>
      </c>
      <c r="P156" s="45">
        <f>J156*M156</f>
        <v>3830000</v>
      </c>
      <c r="Q156" s="47" t="s">
        <v>146</v>
      </c>
    </row>
    <row r="157" spans="1:17" ht="15.95" customHeight="1">
      <c r="A157" s="160"/>
      <c r="B157" s="326"/>
      <c r="C157" s="549"/>
      <c r="D157" s="544"/>
      <c r="E157" s="500"/>
      <c r="F157" s="520"/>
      <c r="G157" s="500"/>
      <c r="H157" s="502"/>
      <c r="I157" s="195" t="s">
        <v>408</v>
      </c>
      <c r="J157" s="45">
        <v>0</v>
      </c>
      <c r="K157" s="29" t="s">
        <v>146</v>
      </c>
      <c r="L157" s="46" t="s">
        <v>121</v>
      </c>
      <c r="M157" s="381">
        <v>1</v>
      </c>
      <c r="N157" s="381" t="s">
        <v>124</v>
      </c>
      <c r="O157" s="53" t="s">
        <v>136</v>
      </c>
      <c r="P157" s="45">
        <f>SUM(J157*M157)</f>
        <v>0</v>
      </c>
      <c r="Q157" s="47" t="s">
        <v>146</v>
      </c>
    </row>
    <row r="158" spans="1:17" ht="15.95" customHeight="1">
      <c r="A158" s="160"/>
      <c r="B158" s="326"/>
      <c r="C158" s="549"/>
      <c r="D158" s="544"/>
      <c r="E158" s="500"/>
      <c r="F158" s="520"/>
      <c r="G158" s="500"/>
      <c r="H158" s="502"/>
      <c r="I158" s="195" t="s">
        <v>409</v>
      </c>
      <c r="J158" s="45">
        <v>1550000</v>
      </c>
      <c r="K158" s="29" t="s">
        <v>146</v>
      </c>
      <c r="L158" s="46" t="s">
        <v>121</v>
      </c>
      <c r="M158" s="381">
        <v>1</v>
      </c>
      <c r="N158" s="381" t="s">
        <v>124</v>
      </c>
      <c r="O158" s="53" t="s">
        <v>136</v>
      </c>
      <c r="P158" s="45">
        <f>SUM(J158*M158)</f>
        <v>1550000</v>
      </c>
      <c r="Q158" s="47" t="s">
        <v>146</v>
      </c>
    </row>
    <row r="159" spans="1:17" ht="15.95" customHeight="1">
      <c r="A159" s="160"/>
      <c r="B159" s="326"/>
      <c r="C159" s="550"/>
      <c r="D159" s="543"/>
      <c r="E159" s="499"/>
      <c r="F159" s="365"/>
      <c r="G159" s="499"/>
      <c r="H159" s="503"/>
      <c r="I159" s="194" t="s">
        <v>277</v>
      </c>
      <c r="J159" s="68">
        <v>8255000</v>
      </c>
      <c r="K159" s="174" t="s">
        <v>146</v>
      </c>
      <c r="L159" s="69" t="s">
        <v>121</v>
      </c>
      <c r="M159" s="380">
        <v>1</v>
      </c>
      <c r="N159" s="380" t="s">
        <v>124</v>
      </c>
      <c r="O159" s="70" t="s">
        <v>136</v>
      </c>
      <c r="P159" s="68">
        <f>SUM(J159*M159)</f>
        <v>8255000</v>
      </c>
      <c r="Q159" s="71" t="s">
        <v>146</v>
      </c>
    </row>
    <row r="160" spans="1:17" ht="15.95" customHeight="1">
      <c r="A160" s="160"/>
      <c r="B160" s="326"/>
      <c r="C160" s="551" t="s">
        <v>228</v>
      </c>
      <c r="D160" s="542">
        <v>400</v>
      </c>
      <c r="E160" s="498">
        <f>+P160/1000</f>
        <v>600</v>
      </c>
      <c r="F160" s="519">
        <v>346</v>
      </c>
      <c r="G160" s="498">
        <f>+E160-D160</f>
        <v>200</v>
      </c>
      <c r="H160" s="492">
        <v>0</v>
      </c>
      <c r="I160" s="177"/>
      <c r="J160" s="52"/>
      <c r="K160" s="86"/>
      <c r="L160" s="51"/>
      <c r="M160" s="420" t="s">
        <v>159</v>
      </c>
      <c r="N160" s="420"/>
      <c r="O160" s="420"/>
      <c r="P160" s="52">
        <f>SUM(P161:P161)</f>
        <v>600000</v>
      </c>
      <c r="Q160" s="37" t="s">
        <v>146</v>
      </c>
    </row>
    <row r="161" spans="1:31" ht="19.5" customHeight="1">
      <c r="A161" s="160"/>
      <c r="B161" s="338"/>
      <c r="C161" s="529"/>
      <c r="D161" s="543"/>
      <c r="E161" s="499"/>
      <c r="F161" s="522"/>
      <c r="G161" s="499"/>
      <c r="H161" s="494"/>
      <c r="I161" s="187" t="s">
        <v>228</v>
      </c>
      <c r="J161" s="68">
        <v>300000</v>
      </c>
      <c r="K161" s="174" t="s">
        <v>146</v>
      </c>
      <c r="L161" s="69" t="s">
        <v>121</v>
      </c>
      <c r="M161" s="380">
        <v>2</v>
      </c>
      <c r="N161" s="380" t="s">
        <v>124</v>
      </c>
      <c r="O161" s="70" t="s">
        <v>136</v>
      </c>
      <c r="P161" s="68">
        <f>SUM(J161*M161)</f>
        <v>600000</v>
      </c>
      <c r="Q161" s="71" t="s">
        <v>146</v>
      </c>
    </row>
    <row r="162" spans="1:31" ht="20.100000000000001" customHeight="1">
      <c r="A162" s="232" t="s">
        <v>447</v>
      </c>
      <c r="B162" s="31" t="s">
        <v>264</v>
      </c>
      <c r="C162" s="375" t="s">
        <v>166</v>
      </c>
      <c r="D162" s="363">
        <f>SUM(D163)</f>
        <v>3390</v>
      </c>
      <c r="E162" s="355">
        <f>SUM(E163)</f>
        <v>1890</v>
      </c>
      <c r="F162" s="361">
        <f>SUM(F163:F170)</f>
        <v>16520</v>
      </c>
      <c r="G162" s="355">
        <f>+E162-D162</f>
        <v>-1500</v>
      </c>
      <c r="H162" s="353">
        <f>+G162/D162*100</f>
        <v>-44.247787610619469</v>
      </c>
      <c r="I162" s="229"/>
      <c r="J162" s="117"/>
      <c r="K162" s="60"/>
      <c r="L162" s="118"/>
      <c r="M162" s="347"/>
      <c r="N162" s="347"/>
      <c r="O162" s="119"/>
      <c r="P162" s="117">
        <f>SUM(P163)</f>
        <v>1890000</v>
      </c>
      <c r="Q162" s="83" t="s">
        <v>146</v>
      </c>
    </row>
    <row r="163" spans="1:31" ht="15.95" customHeight="1">
      <c r="A163" s="160"/>
      <c r="B163" s="326"/>
      <c r="C163" s="548" t="s">
        <v>73</v>
      </c>
      <c r="D163" s="542">
        <v>3390</v>
      </c>
      <c r="E163" s="498">
        <f>P163/1000</f>
        <v>1890</v>
      </c>
      <c r="F163" s="519">
        <v>2900</v>
      </c>
      <c r="G163" s="498">
        <f>+E163-D163</f>
        <v>-1500</v>
      </c>
      <c r="H163" s="492">
        <f>+G163/D163*100</f>
        <v>-44.247787610619469</v>
      </c>
      <c r="I163" s="177"/>
      <c r="J163" s="52"/>
      <c r="K163" s="86"/>
      <c r="L163" s="51"/>
      <c r="M163" s="420" t="s">
        <v>159</v>
      </c>
      <c r="N163" s="420"/>
      <c r="O163" s="420"/>
      <c r="P163" s="52">
        <f>SUM(P164:P165)</f>
        <v>1890000</v>
      </c>
      <c r="Q163" s="37" t="s">
        <v>146</v>
      </c>
    </row>
    <row r="164" spans="1:31" ht="15.95" customHeight="1">
      <c r="A164" s="160"/>
      <c r="B164" s="326"/>
      <c r="C164" s="549"/>
      <c r="D164" s="544"/>
      <c r="E164" s="500"/>
      <c r="F164" s="520"/>
      <c r="G164" s="500">
        <f>+E164-D164</f>
        <v>0</v>
      </c>
      <c r="H164" s="493" t="e">
        <f>+G164/D164*100</f>
        <v>#DIV/0!</v>
      </c>
      <c r="I164" s="351" t="s">
        <v>353</v>
      </c>
      <c r="J164" s="45">
        <v>1500000</v>
      </c>
      <c r="K164" s="29" t="s">
        <v>146</v>
      </c>
      <c r="L164" s="46" t="s">
        <v>121</v>
      </c>
      <c r="M164" s="381">
        <v>1</v>
      </c>
      <c r="N164" s="381" t="s">
        <v>124</v>
      </c>
      <c r="O164" s="53" t="s">
        <v>136</v>
      </c>
      <c r="P164" s="45">
        <f>SUM(J164*M164)</f>
        <v>1500000</v>
      </c>
      <c r="Q164" s="47" t="s">
        <v>146</v>
      </c>
    </row>
    <row r="165" spans="1:31" ht="15.95" customHeight="1">
      <c r="A165" s="160"/>
      <c r="B165" s="338"/>
      <c r="C165" s="550"/>
      <c r="D165" s="543"/>
      <c r="E165" s="499"/>
      <c r="F165" s="522"/>
      <c r="G165" s="499">
        <f>+E165-D165</f>
        <v>0</v>
      </c>
      <c r="H165" s="494" t="e">
        <f>+G165/D165*100</f>
        <v>#DIV/0!</v>
      </c>
      <c r="I165" s="187" t="s">
        <v>374</v>
      </c>
      <c r="J165" s="68">
        <v>390000</v>
      </c>
      <c r="K165" s="174" t="s">
        <v>146</v>
      </c>
      <c r="L165" s="69" t="s">
        <v>121</v>
      </c>
      <c r="M165" s="380">
        <v>1</v>
      </c>
      <c r="N165" s="380" t="s">
        <v>124</v>
      </c>
      <c r="O165" s="70" t="s">
        <v>136</v>
      </c>
      <c r="P165" s="68">
        <f>SUM(J165*M165)</f>
        <v>390000</v>
      </c>
      <c r="Q165" s="71" t="s">
        <v>146</v>
      </c>
    </row>
    <row r="166" spans="1:31" ht="20.100000000000001" customHeight="1">
      <c r="A166" s="222"/>
      <c r="B166" s="207" t="s">
        <v>294</v>
      </c>
      <c r="C166" s="375" t="s">
        <v>166</v>
      </c>
      <c r="D166" s="377">
        <f>SUM(D167:D170)</f>
        <v>17100</v>
      </c>
      <c r="E166" s="352">
        <f>P166/1000</f>
        <v>27100</v>
      </c>
      <c r="F166" s="361"/>
      <c r="G166" s="352">
        <f>E166-D166</f>
        <v>10000</v>
      </c>
      <c r="H166" s="359">
        <f>G166/D166*100</f>
        <v>58.479532163742689</v>
      </c>
      <c r="I166" s="177"/>
      <c r="J166" s="52"/>
      <c r="K166" s="86"/>
      <c r="L166" s="51"/>
      <c r="M166" s="330"/>
      <c r="N166" s="330"/>
      <c r="O166" s="121"/>
      <c r="P166" s="52">
        <f>P167</f>
        <v>27100000</v>
      </c>
      <c r="Q166" s="37" t="s">
        <v>146</v>
      </c>
    </row>
    <row r="167" spans="1:31" ht="15.95" customHeight="1">
      <c r="A167" s="227"/>
      <c r="B167" s="233"/>
      <c r="C167" s="486" t="s">
        <v>190</v>
      </c>
      <c r="D167" s="542">
        <v>17100</v>
      </c>
      <c r="E167" s="498">
        <f>+P167/1000</f>
        <v>27100</v>
      </c>
      <c r="F167" s="519">
        <v>13620</v>
      </c>
      <c r="G167" s="498">
        <f>+E167-D167</f>
        <v>10000</v>
      </c>
      <c r="H167" s="492">
        <f>+G167/D167*100</f>
        <v>58.479532163742689</v>
      </c>
      <c r="I167" s="177"/>
      <c r="J167" s="52"/>
      <c r="K167" s="86"/>
      <c r="L167" s="51"/>
      <c r="M167" s="420" t="s">
        <v>159</v>
      </c>
      <c r="N167" s="420"/>
      <c r="O167" s="420"/>
      <c r="P167" s="52">
        <f>SUM(P168:P170)</f>
        <v>27100000</v>
      </c>
      <c r="Q167" s="37" t="s">
        <v>146</v>
      </c>
    </row>
    <row r="168" spans="1:31" ht="15.95" customHeight="1">
      <c r="A168" s="227"/>
      <c r="B168" s="326"/>
      <c r="C168" s="487"/>
      <c r="D168" s="544"/>
      <c r="E168" s="500"/>
      <c r="F168" s="520"/>
      <c r="G168" s="500"/>
      <c r="H168" s="493"/>
      <c r="I168" s="596" t="s">
        <v>273</v>
      </c>
      <c r="J168" s="45">
        <v>16500000</v>
      </c>
      <c r="K168" s="29" t="s">
        <v>146</v>
      </c>
      <c r="L168" s="46" t="s">
        <v>121</v>
      </c>
      <c r="M168" s="381">
        <v>1</v>
      </c>
      <c r="N168" s="381" t="s">
        <v>124</v>
      </c>
      <c r="O168" s="53" t="s">
        <v>136</v>
      </c>
      <c r="P168" s="45">
        <f>SUM(J168*M168)</f>
        <v>16500000</v>
      </c>
      <c r="Q168" s="47" t="s">
        <v>146</v>
      </c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30"/>
      <c r="AE168" s="30"/>
    </row>
    <row r="169" spans="1:31" ht="15.95" customHeight="1">
      <c r="A169" s="227"/>
      <c r="B169" s="326"/>
      <c r="C169" s="487"/>
      <c r="D169" s="544"/>
      <c r="E169" s="500"/>
      <c r="F169" s="520"/>
      <c r="G169" s="500"/>
      <c r="H169" s="493"/>
      <c r="I169" s="351" t="s">
        <v>402</v>
      </c>
      <c r="J169" s="45">
        <v>9000000</v>
      </c>
      <c r="K169" s="29" t="s">
        <v>146</v>
      </c>
      <c r="L169" s="46" t="s">
        <v>121</v>
      </c>
      <c r="M169" s="381">
        <v>1</v>
      </c>
      <c r="N169" s="381" t="s">
        <v>124</v>
      </c>
      <c r="O169" s="53" t="s">
        <v>136</v>
      </c>
      <c r="P169" s="45">
        <f>SUM(J169*M169)</f>
        <v>9000000</v>
      </c>
      <c r="Q169" s="47" t="s">
        <v>146</v>
      </c>
    </row>
    <row r="170" spans="1:31" ht="15.95" customHeight="1">
      <c r="A170" s="227"/>
      <c r="B170" s="326"/>
      <c r="C170" s="487"/>
      <c r="D170" s="544"/>
      <c r="E170" s="500"/>
      <c r="F170" s="520"/>
      <c r="G170" s="500"/>
      <c r="H170" s="493"/>
      <c r="I170" s="351" t="s">
        <v>28</v>
      </c>
      <c r="J170" s="45">
        <v>1600000</v>
      </c>
      <c r="K170" s="29" t="s">
        <v>146</v>
      </c>
      <c r="L170" s="46" t="s">
        <v>121</v>
      </c>
      <c r="M170" s="381">
        <v>1</v>
      </c>
      <c r="N170" s="381" t="s">
        <v>124</v>
      </c>
      <c r="O170" s="53" t="s">
        <v>136</v>
      </c>
      <c r="P170" s="45">
        <f>SUM(J170*M170)</f>
        <v>1600000</v>
      </c>
      <c r="Q170" s="47" t="s">
        <v>146</v>
      </c>
    </row>
    <row r="171" spans="1:31" ht="20.100000000000001" customHeight="1">
      <c r="A171" s="232"/>
      <c r="B171" s="31" t="s">
        <v>225</v>
      </c>
      <c r="C171" s="387" t="s">
        <v>166</v>
      </c>
      <c r="D171" s="389">
        <f>SUM(D172:D178)</f>
        <v>36460</v>
      </c>
      <c r="E171" s="388">
        <f>SUM(E172:E178)</f>
        <v>26660</v>
      </c>
      <c r="F171" s="379">
        <f>SUM(F172:F178)</f>
        <v>18973</v>
      </c>
      <c r="G171" s="388">
        <f>+E171-D171</f>
        <v>-9800</v>
      </c>
      <c r="H171" s="390">
        <f>+G171/D171*100</f>
        <v>-26.878771256171145</v>
      </c>
      <c r="I171" s="209"/>
      <c r="J171" s="117"/>
      <c r="K171" s="60"/>
      <c r="L171" s="118"/>
      <c r="M171" s="347"/>
      <c r="N171" s="347"/>
      <c r="O171" s="119"/>
      <c r="P171" s="234">
        <f>SUM(P172,P178)</f>
        <v>26660000</v>
      </c>
      <c r="Q171" s="83" t="s">
        <v>146</v>
      </c>
    </row>
    <row r="172" spans="1:31" ht="15.95" customHeight="1">
      <c r="A172" s="160"/>
      <c r="B172" s="326"/>
      <c r="C172" s="548" t="s">
        <v>316</v>
      </c>
      <c r="D172" s="542">
        <v>33460</v>
      </c>
      <c r="E172" s="498">
        <f>+P172/1000</f>
        <v>16660</v>
      </c>
      <c r="F172" s="519">
        <v>18973</v>
      </c>
      <c r="G172" s="498">
        <f>+E172-D172</f>
        <v>-16800</v>
      </c>
      <c r="H172" s="492">
        <f>+G172/D172*100</f>
        <v>-50.2092050209205</v>
      </c>
      <c r="I172" s="177"/>
      <c r="J172" s="52"/>
      <c r="K172" s="86"/>
      <c r="L172" s="51"/>
      <c r="M172" s="420" t="s">
        <v>159</v>
      </c>
      <c r="N172" s="420"/>
      <c r="O172" s="420"/>
      <c r="P172" s="52">
        <f>SUM(P173:P177)</f>
        <v>16660000</v>
      </c>
      <c r="Q172" s="37" t="s">
        <v>146</v>
      </c>
    </row>
    <row r="173" spans="1:31" ht="15.95" customHeight="1">
      <c r="A173" s="160"/>
      <c r="B173" s="326"/>
      <c r="C173" s="549"/>
      <c r="D173" s="544"/>
      <c r="E173" s="500"/>
      <c r="F173" s="520"/>
      <c r="G173" s="500"/>
      <c r="H173" s="493"/>
      <c r="I173" s="351" t="s">
        <v>295</v>
      </c>
      <c r="J173" s="45">
        <v>4300000</v>
      </c>
      <c r="K173" s="29" t="s">
        <v>146</v>
      </c>
      <c r="L173" s="46" t="s">
        <v>121</v>
      </c>
      <c r="M173" s="381">
        <v>1</v>
      </c>
      <c r="N173" s="381" t="s">
        <v>124</v>
      </c>
      <c r="O173" s="381" t="s">
        <v>136</v>
      </c>
      <c r="P173" s="45">
        <f>J173*M173</f>
        <v>4300000</v>
      </c>
      <c r="Q173" s="47" t="s">
        <v>146</v>
      </c>
    </row>
    <row r="174" spans="1:31" ht="15.95" customHeight="1">
      <c r="A174" s="160"/>
      <c r="B174" s="326"/>
      <c r="C174" s="549"/>
      <c r="D174" s="544"/>
      <c r="E174" s="500"/>
      <c r="F174" s="362"/>
      <c r="G174" s="500"/>
      <c r="H174" s="493"/>
      <c r="I174" s="351" t="s">
        <v>382</v>
      </c>
      <c r="J174" s="45">
        <v>560000</v>
      </c>
      <c r="K174" s="29" t="s">
        <v>146</v>
      </c>
      <c r="L174" s="46" t="s">
        <v>121</v>
      </c>
      <c r="M174" s="381">
        <v>1</v>
      </c>
      <c r="N174" s="381" t="s">
        <v>124</v>
      </c>
      <c r="O174" s="381" t="s">
        <v>136</v>
      </c>
      <c r="P174" s="45">
        <f>SUM(J174*M174)</f>
        <v>560000</v>
      </c>
      <c r="Q174" s="47" t="s">
        <v>146</v>
      </c>
    </row>
    <row r="175" spans="1:31" ht="15.95" customHeight="1">
      <c r="A175" s="160"/>
      <c r="B175" s="326"/>
      <c r="C175" s="549"/>
      <c r="D175" s="544"/>
      <c r="E175" s="500"/>
      <c r="F175" s="362"/>
      <c r="G175" s="500"/>
      <c r="H175" s="493"/>
      <c r="I175" s="351" t="s">
        <v>428</v>
      </c>
      <c r="J175" s="45">
        <v>5400000</v>
      </c>
      <c r="K175" s="29" t="s">
        <v>146</v>
      </c>
      <c r="L175" s="46" t="s">
        <v>121</v>
      </c>
      <c r="M175" s="381">
        <v>1</v>
      </c>
      <c r="N175" s="381" t="s">
        <v>124</v>
      </c>
      <c r="O175" s="381" t="s">
        <v>136</v>
      </c>
      <c r="P175" s="45">
        <f>SUM(J175*M175)</f>
        <v>5400000</v>
      </c>
      <c r="Q175" s="47" t="s">
        <v>146</v>
      </c>
    </row>
    <row r="176" spans="1:31" ht="15.95" customHeight="1">
      <c r="A176" s="160"/>
      <c r="B176" s="326"/>
      <c r="C176" s="549"/>
      <c r="D176" s="544"/>
      <c r="E176" s="500"/>
      <c r="F176" s="362"/>
      <c r="G176" s="500"/>
      <c r="H176" s="493"/>
      <c r="I176" s="351" t="s">
        <v>390</v>
      </c>
      <c r="J176" s="45">
        <v>300000</v>
      </c>
      <c r="K176" s="29" t="s">
        <v>146</v>
      </c>
      <c r="L176" s="46" t="s">
        <v>121</v>
      </c>
      <c r="M176" s="381">
        <v>2</v>
      </c>
      <c r="N176" s="381" t="s">
        <v>124</v>
      </c>
      <c r="O176" s="381" t="s">
        <v>136</v>
      </c>
      <c r="P176" s="45">
        <f>SUM(J176*M176)</f>
        <v>600000</v>
      </c>
      <c r="Q176" s="47" t="s">
        <v>146</v>
      </c>
    </row>
    <row r="177" spans="1:17" ht="15.95" customHeight="1">
      <c r="A177" s="160"/>
      <c r="B177" s="326"/>
      <c r="C177" s="550"/>
      <c r="D177" s="543"/>
      <c r="E177" s="499"/>
      <c r="F177" s="362"/>
      <c r="G177" s="499"/>
      <c r="H177" s="494"/>
      <c r="I177" s="597" t="s">
        <v>427</v>
      </c>
      <c r="J177" s="45">
        <v>2900000</v>
      </c>
      <c r="K177" s="29" t="s">
        <v>146</v>
      </c>
      <c r="L177" s="46" t="s">
        <v>121</v>
      </c>
      <c r="M177" s="381">
        <v>2</v>
      </c>
      <c r="N177" s="381" t="s">
        <v>124</v>
      </c>
      <c r="O177" s="53" t="s">
        <v>136</v>
      </c>
      <c r="P177" s="45">
        <f>SUM(J177*M177)</f>
        <v>5800000</v>
      </c>
      <c r="Q177" s="47" t="s">
        <v>146</v>
      </c>
    </row>
    <row r="178" spans="1:17" ht="15.95" customHeight="1">
      <c r="A178" s="160"/>
      <c r="B178" s="326"/>
      <c r="C178" s="548" t="s">
        <v>326</v>
      </c>
      <c r="D178" s="542">
        <v>3000</v>
      </c>
      <c r="E178" s="584">
        <f>+P178/1000</f>
        <v>10000</v>
      </c>
      <c r="F178" s="322">
        <v>0</v>
      </c>
      <c r="G178" s="498">
        <f>+E178-D178</f>
        <v>7000</v>
      </c>
      <c r="H178" s="501">
        <f>G178/D178*100</f>
        <v>233.33333333333334</v>
      </c>
      <c r="I178" s="177"/>
      <c r="J178" s="52"/>
      <c r="K178" s="86"/>
      <c r="L178" s="51"/>
      <c r="M178" s="420" t="s">
        <v>159</v>
      </c>
      <c r="N178" s="420"/>
      <c r="O178" s="420"/>
      <c r="P178" s="52">
        <f>SUM(P179:P179)</f>
        <v>10000000</v>
      </c>
      <c r="Q178" s="37" t="s">
        <v>146</v>
      </c>
    </row>
    <row r="179" spans="1:17" ht="15.95" customHeight="1">
      <c r="A179" s="160"/>
      <c r="B179" s="338"/>
      <c r="C179" s="550"/>
      <c r="D179" s="543"/>
      <c r="E179" s="585"/>
      <c r="F179" s="290"/>
      <c r="G179" s="499"/>
      <c r="H179" s="503"/>
      <c r="I179" s="173" t="s">
        <v>463</v>
      </c>
      <c r="J179" s="68">
        <v>10000000</v>
      </c>
      <c r="K179" s="174" t="s">
        <v>146</v>
      </c>
      <c r="L179" s="69" t="s">
        <v>121</v>
      </c>
      <c r="M179" s="380">
        <v>1</v>
      </c>
      <c r="N179" s="380" t="s">
        <v>124</v>
      </c>
      <c r="O179" s="70" t="s">
        <v>136</v>
      </c>
      <c r="P179" s="68">
        <f>SUM(J179*M179)</f>
        <v>10000000</v>
      </c>
      <c r="Q179" s="71" t="s">
        <v>146</v>
      </c>
    </row>
    <row r="180" spans="1:17" ht="20.100000000000001" customHeight="1">
      <c r="A180" s="212"/>
      <c r="B180" s="31" t="s">
        <v>358</v>
      </c>
      <c r="C180" s="235" t="s">
        <v>166</v>
      </c>
      <c r="D180" s="389">
        <f>SUM(D181:D190)</f>
        <v>66470</v>
      </c>
      <c r="E180" s="388">
        <f>SUM(E181:E190)</f>
        <v>65520</v>
      </c>
      <c r="F180" s="236" t="e">
        <f>SUM(#REF!)</f>
        <v>#REF!</v>
      </c>
      <c r="G180" s="388">
        <f>E180-D180</f>
        <v>-950</v>
      </c>
      <c r="H180" s="390">
        <f>+G180/D180*100</f>
        <v>-1.4292161877538738</v>
      </c>
      <c r="I180" s="229"/>
      <c r="J180" s="117"/>
      <c r="K180" s="60"/>
      <c r="L180" s="118"/>
      <c r="M180" s="347"/>
      <c r="N180" s="347"/>
      <c r="O180" s="119"/>
      <c r="P180" s="234">
        <f>SUM(P181,P187)</f>
        <v>65520000</v>
      </c>
      <c r="Q180" s="62" t="s">
        <v>146</v>
      </c>
    </row>
    <row r="181" spans="1:17" ht="15.95" customHeight="1">
      <c r="A181" s="160"/>
      <c r="B181" s="326"/>
      <c r="C181" s="548" t="s">
        <v>340</v>
      </c>
      <c r="D181" s="489">
        <v>34770</v>
      </c>
      <c r="E181" s="480">
        <f>+P181/1000</f>
        <v>31770</v>
      </c>
      <c r="F181" s="519">
        <v>661</v>
      </c>
      <c r="G181" s="498">
        <f>E181-D181</f>
        <v>-3000</v>
      </c>
      <c r="H181" s="495">
        <f>G181/D181*100</f>
        <v>-8.6281276962899049</v>
      </c>
      <c r="I181" s="170"/>
      <c r="J181" s="52"/>
      <c r="K181" s="86"/>
      <c r="L181" s="51"/>
      <c r="M181" s="420" t="s">
        <v>159</v>
      </c>
      <c r="N181" s="420"/>
      <c r="O181" s="420"/>
      <c r="P181" s="52">
        <f>SUM(P182:P186)</f>
        <v>31770000</v>
      </c>
      <c r="Q181" s="37" t="s">
        <v>146</v>
      </c>
    </row>
    <row r="182" spans="1:17" ht="15.95" customHeight="1">
      <c r="A182" s="160"/>
      <c r="B182" s="326"/>
      <c r="C182" s="549"/>
      <c r="D182" s="490"/>
      <c r="E182" s="481"/>
      <c r="F182" s="520"/>
      <c r="G182" s="500"/>
      <c r="H182" s="496"/>
      <c r="I182" s="350" t="s">
        <v>424</v>
      </c>
      <c r="J182" s="45">
        <v>16170000</v>
      </c>
      <c r="K182" s="29" t="s">
        <v>146</v>
      </c>
      <c r="L182" s="46" t="s">
        <v>121</v>
      </c>
      <c r="M182" s="381">
        <v>1</v>
      </c>
      <c r="N182" s="381" t="s">
        <v>124</v>
      </c>
      <c r="O182" s="381" t="s">
        <v>136</v>
      </c>
      <c r="P182" s="45">
        <f>+J182*M182</f>
        <v>16170000</v>
      </c>
      <c r="Q182" s="47" t="s">
        <v>146</v>
      </c>
    </row>
    <row r="183" spans="1:17" ht="15.95" customHeight="1">
      <c r="A183" s="160"/>
      <c r="B183" s="326"/>
      <c r="C183" s="549"/>
      <c r="D183" s="490"/>
      <c r="E183" s="481"/>
      <c r="F183" s="520"/>
      <c r="G183" s="500"/>
      <c r="H183" s="496"/>
      <c r="I183" s="350" t="s">
        <v>425</v>
      </c>
      <c r="J183" s="45">
        <v>15000000</v>
      </c>
      <c r="K183" s="29" t="s">
        <v>146</v>
      </c>
      <c r="L183" s="46" t="s">
        <v>121</v>
      </c>
      <c r="M183" s="381">
        <v>1</v>
      </c>
      <c r="N183" s="381" t="s">
        <v>124</v>
      </c>
      <c r="O183" s="381" t="s">
        <v>136</v>
      </c>
      <c r="P183" s="45">
        <f>+J183*M183</f>
        <v>15000000</v>
      </c>
      <c r="Q183" s="47" t="s">
        <v>146</v>
      </c>
    </row>
    <row r="184" spans="1:17" ht="15.95" customHeight="1">
      <c r="A184" s="160"/>
      <c r="B184" s="326"/>
      <c r="C184" s="549"/>
      <c r="D184" s="490"/>
      <c r="E184" s="481"/>
      <c r="F184" s="520"/>
      <c r="G184" s="500"/>
      <c r="H184" s="496"/>
      <c r="I184" s="350" t="s">
        <v>426</v>
      </c>
      <c r="J184" s="45">
        <v>30000</v>
      </c>
      <c r="K184" s="29" t="s">
        <v>146</v>
      </c>
      <c r="L184" s="46" t="s">
        <v>121</v>
      </c>
      <c r="M184" s="381">
        <v>10</v>
      </c>
      <c r="N184" s="381" t="s">
        <v>124</v>
      </c>
      <c r="O184" s="381" t="s">
        <v>136</v>
      </c>
      <c r="P184" s="45">
        <f>+J184*M184</f>
        <v>300000</v>
      </c>
      <c r="Q184" s="47" t="s">
        <v>146</v>
      </c>
    </row>
    <row r="185" spans="1:17" ht="15.95" customHeight="1">
      <c r="A185" s="160"/>
      <c r="B185" s="326"/>
      <c r="C185" s="549"/>
      <c r="D185" s="490"/>
      <c r="E185" s="481"/>
      <c r="F185" s="520"/>
      <c r="G185" s="500"/>
      <c r="H185" s="496"/>
      <c r="I185" s="308" t="s">
        <v>459</v>
      </c>
      <c r="J185" s="45">
        <v>300000</v>
      </c>
      <c r="K185" s="29" t="s">
        <v>146</v>
      </c>
      <c r="L185" s="46" t="s">
        <v>121</v>
      </c>
      <c r="M185" s="381">
        <v>1</v>
      </c>
      <c r="N185" s="381" t="s">
        <v>422</v>
      </c>
      <c r="O185" s="381" t="s">
        <v>136</v>
      </c>
      <c r="P185" s="45">
        <f>+J185*M185</f>
        <v>300000</v>
      </c>
      <c r="Q185" s="47" t="s">
        <v>423</v>
      </c>
    </row>
    <row r="186" spans="1:17" ht="15.95" customHeight="1">
      <c r="A186" s="160"/>
      <c r="B186" s="326"/>
      <c r="C186" s="549"/>
      <c r="D186" s="490"/>
      <c r="E186" s="481"/>
      <c r="F186" s="520"/>
      <c r="G186" s="500"/>
      <c r="H186" s="496"/>
      <c r="I186" s="350" t="s">
        <v>269</v>
      </c>
      <c r="J186" s="45">
        <v>500000</v>
      </c>
      <c r="K186" s="29" t="s">
        <v>146</v>
      </c>
      <c r="L186" s="46" t="s">
        <v>121</v>
      </c>
      <c r="M186" s="381">
        <v>0</v>
      </c>
      <c r="N186" s="381" t="s">
        <v>124</v>
      </c>
      <c r="O186" s="381" t="s">
        <v>136</v>
      </c>
      <c r="P186" s="45">
        <f>+J186*M186</f>
        <v>0</v>
      </c>
      <c r="Q186" s="47" t="s">
        <v>146</v>
      </c>
    </row>
    <row r="187" spans="1:17" ht="15.95" customHeight="1">
      <c r="A187" s="237"/>
      <c r="B187" s="238"/>
      <c r="C187" s="548" t="s">
        <v>118</v>
      </c>
      <c r="D187" s="489">
        <v>31700</v>
      </c>
      <c r="E187" s="480">
        <f>+P187/1000</f>
        <v>33750</v>
      </c>
      <c r="F187" s="519">
        <v>661</v>
      </c>
      <c r="G187" s="511">
        <f>E187-D187</f>
        <v>2050</v>
      </c>
      <c r="H187" s="495">
        <f>G187/D187*100</f>
        <v>6.4668769716088326</v>
      </c>
      <c r="I187" s="41"/>
      <c r="J187" s="52"/>
      <c r="K187" s="86"/>
      <c r="L187" s="51"/>
      <c r="M187" s="420" t="s">
        <v>159</v>
      </c>
      <c r="N187" s="420"/>
      <c r="O187" s="420"/>
      <c r="P187" s="52">
        <f>SUM(P188:P190)</f>
        <v>33750000</v>
      </c>
      <c r="Q187" s="37" t="s">
        <v>146</v>
      </c>
    </row>
    <row r="188" spans="1:17" ht="15.95" customHeight="1">
      <c r="A188" s="160"/>
      <c r="B188" s="326"/>
      <c r="C188" s="549"/>
      <c r="D188" s="490"/>
      <c r="E188" s="481"/>
      <c r="F188" s="520"/>
      <c r="G188" s="511"/>
      <c r="H188" s="496"/>
      <c r="I188" s="299" t="s">
        <v>347</v>
      </c>
      <c r="J188" s="45">
        <v>75000</v>
      </c>
      <c r="K188" s="29" t="s">
        <v>146</v>
      </c>
      <c r="L188" s="46" t="s">
        <v>121</v>
      </c>
      <c r="M188" s="381">
        <v>430</v>
      </c>
      <c r="N188" s="381" t="s">
        <v>124</v>
      </c>
      <c r="O188" s="53" t="s">
        <v>136</v>
      </c>
      <c r="P188" s="45">
        <f>+J188*M188</f>
        <v>32250000</v>
      </c>
      <c r="Q188" s="47" t="s">
        <v>146</v>
      </c>
    </row>
    <row r="189" spans="1:17" ht="15.95" customHeight="1">
      <c r="A189" s="160"/>
      <c r="B189" s="326"/>
      <c r="C189" s="549"/>
      <c r="D189" s="490"/>
      <c r="E189" s="481"/>
      <c r="F189" s="520"/>
      <c r="G189" s="511"/>
      <c r="H189" s="496"/>
      <c r="I189" s="299" t="s">
        <v>386</v>
      </c>
      <c r="J189" s="45">
        <v>1500000</v>
      </c>
      <c r="K189" s="29" t="s">
        <v>146</v>
      </c>
      <c r="L189" s="46" t="s">
        <v>121</v>
      </c>
      <c r="M189" s="381">
        <v>1</v>
      </c>
      <c r="N189" s="381" t="s">
        <v>124</v>
      </c>
      <c r="O189" s="53" t="s">
        <v>136</v>
      </c>
      <c r="P189" s="45">
        <f>+J189*M189</f>
        <v>1500000</v>
      </c>
      <c r="Q189" s="47" t="s">
        <v>146</v>
      </c>
    </row>
    <row r="190" spans="1:17" ht="15.95" customHeight="1">
      <c r="A190" s="160"/>
      <c r="B190" s="338"/>
      <c r="C190" s="550"/>
      <c r="D190" s="491"/>
      <c r="E190" s="482"/>
      <c r="F190" s="522"/>
      <c r="G190" s="511"/>
      <c r="H190" s="497"/>
      <c r="I190" s="239" t="s">
        <v>392</v>
      </c>
      <c r="J190" s="68">
        <v>5000000</v>
      </c>
      <c r="K190" s="174" t="s">
        <v>146</v>
      </c>
      <c r="L190" s="69" t="s">
        <v>121</v>
      </c>
      <c r="M190" s="380">
        <v>0</v>
      </c>
      <c r="N190" s="380" t="s">
        <v>124</v>
      </c>
      <c r="O190" s="70" t="s">
        <v>136</v>
      </c>
      <c r="P190" s="68">
        <f>+J190*M190</f>
        <v>0</v>
      </c>
      <c r="Q190" s="71" t="s">
        <v>146</v>
      </c>
    </row>
    <row r="191" spans="1:17" ht="20.100000000000001" customHeight="1">
      <c r="A191" s="212" t="s">
        <v>447</v>
      </c>
      <c r="B191" s="31" t="s">
        <v>212</v>
      </c>
      <c r="C191" s="373" t="s">
        <v>166</v>
      </c>
      <c r="D191" s="366">
        <f>SUM(D192:D201)</f>
        <v>12864</v>
      </c>
      <c r="E191" s="356">
        <f>SUM(E192:E201)</f>
        <v>12864</v>
      </c>
      <c r="F191" s="362">
        <f>SUM(F192:F201)</f>
        <v>16571</v>
      </c>
      <c r="G191" s="356">
        <f>+E191-D191</f>
        <v>0</v>
      </c>
      <c r="H191" s="358">
        <f>+G191/D191*100</f>
        <v>0</v>
      </c>
      <c r="I191" s="350"/>
      <c r="J191" s="45"/>
      <c r="L191" s="69"/>
      <c r="M191" s="380"/>
      <c r="N191" s="380"/>
      <c r="O191" s="70"/>
      <c r="P191" s="68">
        <f>SUM(P192,P199)</f>
        <v>12864000</v>
      </c>
      <c r="Q191" s="71" t="s">
        <v>146</v>
      </c>
    </row>
    <row r="192" spans="1:17" ht="15.95" customHeight="1">
      <c r="A192" s="160"/>
      <c r="B192" s="238"/>
      <c r="C192" s="486" t="s">
        <v>196</v>
      </c>
      <c r="D192" s="489">
        <v>10064</v>
      </c>
      <c r="E192" s="480">
        <f>+P192/1000</f>
        <v>10064</v>
      </c>
      <c r="F192" s="519">
        <v>9358</v>
      </c>
      <c r="G192" s="480">
        <f>+E192-D192</f>
        <v>0</v>
      </c>
      <c r="H192" s="495">
        <f>+G192/D192*100</f>
        <v>0</v>
      </c>
      <c r="I192" s="170"/>
      <c r="J192" s="52"/>
      <c r="K192" s="86"/>
      <c r="L192" s="86"/>
      <c r="M192" s="420" t="s">
        <v>159</v>
      </c>
      <c r="N192" s="420"/>
      <c r="O192" s="420"/>
      <c r="P192" s="36">
        <f>SUM(P193:P198)</f>
        <v>10064000</v>
      </c>
      <c r="Q192" s="37" t="s">
        <v>146</v>
      </c>
    </row>
    <row r="193" spans="1:17" ht="15.95" customHeight="1">
      <c r="A193" s="160"/>
      <c r="B193" s="326"/>
      <c r="C193" s="487"/>
      <c r="D193" s="490"/>
      <c r="E193" s="481"/>
      <c r="F193" s="520"/>
      <c r="G193" s="481"/>
      <c r="H193" s="496"/>
      <c r="I193" s="350" t="s">
        <v>346</v>
      </c>
      <c r="J193" s="45">
        <v>22000</v>
      </c>
      <c r="K193" s="29" t="s">
        <v>146</v>
      </c>
      <c r="L193" s="46" t="s">
        <v>121</v>
      </c>
      <c r="M193" s="381">
        <v>12</v>
      </c>
      <c r="N193" s="381" t="s">
        <v>129</v>
      </c>
      <c r="O193" s="53" t="s">
        <v>136</v>
      </c>
      <c r="P193" s="45">
        <f>SUM(J193*M193)</f>
        <v>264000</v>
      </c>
      <c r="Q193" s="47" t="s">
        <v>146</v>
      </c>
    </row>
    <row r="194" spans="1:17" ht="15.95" customHeight="1">
      <c r="A194" s="160"/>
      <c r="B194" s="326"/>
      <c r="C194" s="487"/>
      <c r="D194" s="490"/>
      <c r="E194" s="481"/>
      <c r="F194" s="520"/>
      <c r="G194" s="481"/>
      <c r="H194" s="496"/>
      <c r="I194" s="350" t="s">
        <v>298</v>
      </c>
      <c r="J194" s="45">
        <v>300000</v>
      </c>
      <c r="K194" s="29" t="s">
        <v>146</v>
      </c>
      <c r="L194" s="46" t="s">
        <v>121</v>
      </c>
      <c r="M194" s="381">
        <v>12</v>
      </c>
      <c r="N194" s="381" t="s">
        <v>129</v>
      </c>
      <c r="O194" s="53" t="s">
        <v>136</v>
      </c>
      <c r="P194" s="45">
        <f>SUM(J194*M194)</f>
        <v>3600000</v>
      </c>
      <c r="Q194" s="47" t="s">
        <v>146</v>
      </c>
    </row>
    <row r="195" spans="1:17" ht="15.95" customHeight="1">
      <c r="A195" s="160"/>
      <c r="B195" s="326"/>
      <c r="C195" s="487"/>
      <c r="D195" s="490"/>
      <c r="E195" s="481"/>
      <c r="F195" s="520"/>
      <c r="G195" s="481"/>
      <c r="H195" s="496"/>
      <c r="I195" s="350" t="s">
        <v>375</v>
      </c>
      <c r="J195" s="45">
        <v>85000</v>
      </c>
      <c r="K195" s="29" t="s">
        <v>146</v>
      </c>
      <c r="L195" s="46" t="s">
        <v>121</v>
      </c>
      <c r="M195" s="381">
        <v>12</v>
      </c>
      <c r="N195" s="381" t="s">
        <v>129</v>
      </c>
      <c r="O195" s="53" t="s">
        <v>136</v>
      </c>
      <c r="P195" s="45">
        <f>SUM(J195*M195)</f>
        <v>1020000</v>
      </c>
      <c r="Q195" s="47" t="s">
        <v>146</v>
      </c>
    </row>
    <row r="196" spans="1:17" ht="15.95" customHeight="1">
      <c r="A196" s="160"/>
      <c r="B196" s="326"/>
      <c r="C196" s="487"/>
      <c r="D196" s="490"/>
      <c r="E196" s="481"/>
      <c r="F196" s="520"/>
      <c r="G196" s="481"/>
      <c r="H196" s="496"/>
      <c r="I196" s="350" t="s">
        <v>34</v>
      </c>
      <c r="J196" s="45">
        <v>380000</v>
      </c>
      <c r="K196" s="29" t="s">
        <v>146</v>
      </c>
      <c r="L196" s="46" t="s">
        <v>121</v>
      </c>
      <c r="M196" s="381">
        <v>12</v>
      </c>
      <c r="N196" s="381" t="s">
        <v>129</v>
      </c>
      <c r="O196" s="53" t="s">
        <v>136</v>
      </c>
      <c r="P196" s="45">
        <f>SUM(J196*M196)</f>
        <v>4560000</v>
      </c>
      <c r="Q196" s="47" t="s">
        <v>146</v>
      </c>
    </row>
    <row r="197" spans="1:17" ht="15.95" customHeight="1">
      <c r="A197" s="160"/>
      <c r="B197" s="326"/>
      <c r="C197" s="487"/>
      <c r="D197" s="490"/>
      <c r="E197" s="481"/>
      <c r="F197" s="520"/>
      <c r="G197" s="481"/>
      <c r="H197" s="496"/>
      <c r="I197" s="350" t="s">
        <v>400</v>
      </c>
      <c r="J197" s="45">
        <v>35000</v>
      </c>
      <c r="K197" s="29" t="s">
        <v>146</v>
      </c>
      <c r="L197" s="46" t="s">
        <v>121</v>
      </c>
      <c r="M197" s="381">
        <v>12</v>
      </c>
      <c r="N197" s="381" t="s">
        <v>124</v>
      </c>
      <c r="O197" s="53" t="s">
        <v>136</v>
      </c>
      <c r="P197" s="45">
        <f>SUM(J197*M197)</f>
        <v>420000</v>
      </c>
      <c r="Q197" s="47" t="s">
        <v>146</v>
      </c>
    </row>
    <row r="198" spans="1:17" ht="15.95" customHeight="1">
      <c r="A198" s="160"/>
      <c r="B198" s="326"/>
      <c r="C198" s="487"/>
      <c r="D198" s="490"/>
      <c r="E198" s="481"/>
      <c r="F198" s="362"/>
      <c r="G198" s="481"/>
      <c r="H198" s="496"/>
      <c r="I198" s="350" t="s">
        <v>282</v>
      </c>
      <c r="J198" s="45">
        <v>200000</v>
      </c>
      <c r="K198" s="29" t="s">
        <v>146</v>
      </c>
      <c r="L198" s="46" t="s">
        <v>121</v>
      </c>
      <c r="M198" s="381">
        <v>1</v>
      </c>
      <c r="N198" s="381" t="s">
        <v>124</v>
      </c>
      <c r="O198" s="53" t="s">
        <v>136</v>
      </c>
      <c r="P198" s="45">
        <f>J198*M198</f>
        <v>200000</v>
      </c>
      <c r="Q198" s="47" t="s">
        <v>146</v>
      </c>
    </row>
    <row r="199" spans="1:17" ht="15.95" customHeight="1">
      <c r="A199" s="160"/>
      <c r="B199" s="326"/>
      <c r="C199" s="486" t="s">
        <v>222</v>
      </c>
      <c r="D199" s="489">
        <v>2800</v>
      </c>
      <c r="E199" s="480">
        <f>+P199/1000</f>
        <v>2800</v>
      </c>
      <c r="F199" s="519">
        <v>7213</v>
      </c>
      <c r="G199" s="480">
        <f>+E199-D199</f>
        <v>0</v>
      </c>
      <c r="H199" s="495"/>
      <c r="I199" s="170"/>
      <c r="J199" s="52"/>
      <c r="K199" s="86"/>
      <c r="L199" s="51"/>
      <c r="M199" s="420" t="s">
        <v>159</v>
      </c>
      <c r="N199" s="420"/>
      <c r="O199" s="420"/>
      <c r="P199" s="36">
        <f>SUM(P200:P201)</f>
        <v>2800000</v>
      </c>
      <c r="Q199" s="37" t="s">
        <v>146</v>
      </c>
    </row>
    <row r="200" spans="1:17" ht="15.95" customHeight="1">
      <c r="A200" s="160"/>
      <c r="B200" s="326"/>
      <c r="C200" s="487"/>
      <c r="D200" s="583"/>
      <c r="E200" s="586"/>
      <c r="F200" s="520"/>
      <c r="G200" s="586"/>
      <c r="H200" s="587"/>
      <c r="I200" s="175" t="s">
        <v>253</v>
      </c>
      <c r="J200" s="45">
        <v>150000</v>
      </c>
      <c r="K200" s="29" t="s">
        <v>146</v>
      </c>
      <c r="L200" s="46" t="s">
        <v>121</v>
      </c>
      <c r="M200" s="381">
        <v>12</v>
      </c>
      <c r="N200" s="381" t="s">
        <v>124</v>
      </c>
      <c r="O200" s="53"/>
      <c r="P200" s="45">
        <f>SUM(J200*M200)</f>
        <v>1800000</v>
      </c>
      <c r="Q200" s="47" t="s">
        <v>146</v>
      </c>
    </row>
    <row r="201" spans="1:17" ht="15.95" customHeight="1">
      <c r="A201" s="160"/>
      <c r="B201" s="326"/>
      <c r="C201" s="487"/>
      <c r="D201" s="583"/>
      <c r="E201" s="586"/>
      <c r="F201" s="520"/>
      <c r="G201" s="586"/>
      <c r="H201" s="587"/>
      <c r="I201" s="350" t="s">
        <v>314</v>
      </c>
      <c r="J201" s="45">
        <v>1000000</v>
      </c>
      <c r="K201" s="29" t="s">
        <v>146</v>
      </c>
      <c r="L201" s="46" t="s">
        <v>121</v>
      </c>
      <c r="M201" s="381">
        <v>1</v>
      </c>
      <c r="N201" s="381" t="s">
        <v>124</v>
      </c>
      <c r="O201" s="53" t="s">
        <v>136</v>
      </c>
      <c r="P201" s="45">
        <f>SUM(J201*M201)</f>
        <v>1000000</v>
      </c>
      <c r="Q201" s="47" t="s">
        <v>146</v>
      </c>
    </row>
    <row r="202" spans="1:17" ht="21.75" customHeight="1">
      <c r="A202" s="240" t="s">
        <v>128</v>
      </c>
      <c r="B202" s="424" t="s">
        <v>165</v>
      </c>
      <c r="C202" s="425"/>
      <c r="D202" s="241">
        <f>SUM(D203:D293)</f>
        <v>1461836.0898195999</v>
      </c>
      <c r="E202" s="243">
        <f t="shared" ref="E202:E227" si="6">P202/1000</f>
        <v>1542407.9428196</v>
      </c>
      <c r="F202" s="242" t="e">
        <f>SUM(F203:F211,F215:F291)</f>
        <v>#VALUE!</v>
      </c>
      <c r="G202" s="243">
        <f>+E202-D202</f>
        <v>80571.853000000119</v>
      </c>
      <c r="H202" s="244">
        <f t="shared" ref="H202:H214" si="7">+G202/D202*100</f>
        <v>5.5116885922513523</v>
      </c>
      <c r="I202" s="209"/>
      <c r="J202" s="117"/>
      <c r="K202" s="60"/>
      <c r="L202" s="347"/>
      <c r="M202" s="347"/>
      <c r="N202" s="347"/>
      <c r="O202" s="347"/>
      <c r="P202" s="117">
        <f>SUM(P203:P293)</f>
        <v>1542407942.8196001</v>
      </c>
      <c r="Q202" s="83" t="s">
        <v>146</v>
      </c>
    </row>
    <row r="203" spans="1:17" ht="17.45" customHeight="1">
      <c r="A203" s="160"/>
      <c r="B203" s="343" t="s">
        <v>128</v>
      </c>
      <c r="C203" s="383" t="s">
        <v>216</v>
      </c>
      <c r="D203" s="245">
        <v>43000</v>
      </c>
      <c r="E203" s="388">
        <f t="shared" si="6"/>
        <v>43000</v>
      </c>
      <c r="F203" s="246"/>
      <c r="G203" s="388">
        <f t="shared" ref="G203:G211" si="8">E203-D203</f>
        <v>0</v>
      </c>
      <c r="H203" s="390">
        <f t="shared" si="7"/>
        <v>0</v>
      </c>
      <c r="I203" s="247" t="s">
        <v>325</v>
      </c>
      <c r="J203" s="42">
        <v>10750000</v>
      </c>
      <c r="K203" s="248" t="s">
        <v>146</v>
      </c>
      <c r="L203" s="249" t="s">
        <v>121</v>
      </c>
      <c r="M203" s="250">
        <v>4</v>
      </c>
      <c r="N203" s="250" t="s">
        <v>124</v>
      </c>
      <c r="O203" s="251" t="s">
        <v>136</v>
      </c>
      <c r="P203" s="42">
        <f>J203*M203</f>
        <v>43000000</v>
      </c>
      <c r="Q203" s="252" t="s">
        <v>146</v>
      </c>
    </row>
    <row r="204" spans="1:17" ht="17.45" customHeight="1">
      <c r="A204" s="160"/>
      <c r="B204" s="343"/>
      <c r="C204" s="253" t="s">
        <v>23</v>
      </c>
      <c r="D204" s="245">
        <v>40000</v>
      </c>
      <c r="E204" s="388">
        <f t="shared" si="6"/>
        <v>40000</v>
      </c>
      <c r="F204" s="246"/>
      <c r="G204" s="388">
        <f t="shared" si="8"/>
        <v>0</v>
      </c>
      <c r="H204" s="390">
        <f t="shared" si="7"/>
        <v>0</v>
      </c>
      <c r="I204" s="247" t="s">
        <v>325</v>
      </c>
      <c r="J204" s="30">
        <v>10000000</v>
      </c>
      <c r="K204" s="300" t="s">
        <v>146</v>
      </c>
      <c r="L204" s="301" t="s">
        <v>121</v>
      </c>
      <c r="M204" s="302">
        <v>4</v>
      </c>
      <c r="N204" s="302" t="s">
        <v>124</v>
      </c>
      <c r="O204" s="303" t="s">
        <v>136</v>
      </c>
      <c r="P204" s="30">
        <f t="shared" ref="P204:P262" si="9">J204*M204</f>
        <v>40000000</v>
      </c>
      <c r="Q204" s="254" t="s">
        <v>146</v>
      </c>
    </row>
    <row r="205" spans="1:17" ht="17.45" customHeight="1">
      <c r="A205" s="160"/>
      <c r="B205" s="343"/>
      <c r="C205" s="383" t="s">
        <v>302</v>
      </c>
      <c r="D205" s="389">
        <v>47000</v>
      </c>
      <c r="E205" s="388">
        <f t="shared" si="6"/>
        <v>47000</v>
      </c>
      <c r="F205" s="246"/>
      <c r="G205" s="388">
        <f t="shared" si="8"/>
        <v>0</v>
      </c>
      <c r="H205" s="390">
        <f t="shared" si="7"/>
        <v>0</v>
      </c>
      <c r="I205" s="247" t="s">
        <v>325</v>
      </c>
      <c r="J205" s="30">
        <v>11750000</v>
      </c>
      <c r="K205" s="300" t="s">
        <v>146</v>
      </c>
      <c r="L205" s="301" t="s">
        <v>121</v>
      </c>
      <c r="M205" s="302">
        <v>4</v>
      </c>
      <c r="N205" s="302" t="s">
        <v>124</v>
      </c>
      <c r="O205" s="303" t="s">
        <v>136</v>
      </c>
      <c r="P205" s="30">
        <f t="shared" si="9"/>
        <v>47000000</v>
      </c>
      <c r="Q205" s="254" t="s">
        <v>146</v>
      </c>
    </row>
    <row r="206" spans="1:17" ht="17.45" customHeight="1">
      <c r="A206" s="160"/>
      <c r="B206" s="326"/>
      <c r="C206" s="383" t="s">
        <v>301</v>
      </c>
      <c r="D206" s="245">
        <v>40000</v>
      </c>
      <c r="E206" s="388">
        <f t="shared" si="6"/>
        <v>40000</v>
      </c>
      <c r="F206" s="246"/>
      <c r="G206" s="388">
        <f t="shared" si="8"/>
        <v>0</v>
      </c>
      <c r="H206" s="390">
        <f t="shared" si="7"/>
        <v>0</v>
      </c>
      <c r="I206" s="247" t="s">
        <v>325</v>
      </c>
      <c r="J206" s="30">
        <v>10000000</v>
      </c>
      <c r="K206" s="300" t="s">
        <v>146</v>
      </c>
      <c r="L206" s="301" t="s">
        <v>121</v>
      </c>
      <c r="M206" s="302">
        <v>4</v>
      </c>
      <c r="N206" s="302" t="s">
        <v>124</v>
      </c>
      <c r="O206" s="303" t="s">
        <v>136</v>
      </c>
      <c r="P206" s="30">
        <f t="shared" si="9"/>
        <v>40000000</v>
      </c>
      <c r="Q206" s="254" t="s">
        <v>146</v>
      </c>
    </row>
    <row r="207" spans="1:17" ht="17.45" customHeight="1">
      <c r="A207" s="212"/>
      <c r="B207" s="343"/>
      <c r="C207" s="371" t="s">
        <v>218</v>
      </c>
      <c r="D207" s="367">
        <v>40000</v>
      </c>
      <c r="E207" s="364">
        <f t="shared" si="6"/>
        <v>40000</v>
      </c>
      <c r="F207" s="255"/>
      <c r="G207" s="364">
        <f t="shared" si="8"/>
        <v>0</v>
      </c>
      <c r="H207" s="372">
        <f t="shared" si="7"/>
        <v>0</v>
      </c>
      <c r="I207" s="247" t="s">
        <v>325</v>
      </c>
      <c r="J207" s="30">
        <v>10000000</v>
      </c>
      <c r="K207" s="300" t="s">
        <v>146</v>
      </c>
      <c r="L207" s="301" t="s">
        <v>121</v>
      </c>
      <c r="M207" s="302">
        <v>4</v>
      </c>
      <c r="N207" s="302" t="s">
        <v>124</v>
      </c>
      <c r="O207" s="303" t="s">
        <v>136</v>
      </c>
      <c r="P207" s="30">
        <f t="shared" si="9"/>
        <v>40000000</v>
      </c>
      <c r="Q207" s="254" t="s">
        <v>146</v>
      </c>
    </row>
    <row r="208" spans="1:17" ht="17.45" customHeight="1">
      <c r="A208" s="19"/>
      <c r="B208" s="343"/>
      <c r="C208" s="371" t="s">
        <v>265</v>
      </c>
      <c r="D208" s="215">
        <v>36000</v>
      </c>
      <c r="E208" s="364">
        <f t="shared" si="6"/>
        <v>36000</v>
      </c>
      <c r="F208" s="255"/>
      <c r="G208" s="364">
        <f t="shared" si="8"/>
        <v>0</v>
      </c>
      <c r="H208" s="372">
        <f t="shared" si="7"/>
        <v>0</v>
      </c>
      <c r="I208" s="247" t="s">
        <v>325</v>
      </c>
      <c r="J208" s="30">
        <v>9000000</v>
      </c>
      <c r="K208" s="300" t="s">
        <v>146</v>
      </c>
      <c r="L208" s="301" t="s">
        <v>121</v>
      </c>
      <c r="M208" s="302">
        <v>4</v>
      </c>
      <c r="N208" s="302" t="s">
        <v>124</v>
      </c>
      <c r="O208" s="303" t="s">
        <v>136</v>
      </c>
      <c r="P208" s="30">
        <f t="shared" si="9"/>
        <v>36000000</v>
      </c>
      <c r="Q208" s="254" t="s">
        <v>146</v>
      </c>
    </row>
    <row r="209" spans="1:17" ht="17.45" customHeight="1">
      <c r="A209" s="212"/>
      <c r="B209" s="343"/>
      <c r="C209" s="383" t="s">
        <v>244</v>
      </c>
      <c r="D209" s="245">
        <v>45000</v>
      </c>
      <c r="E209" s="388">
        <f t="shared" si="6"/>
        <v>45000</v>
      </c>
      <c r="F209" s="246"/>
      <c r="G209" s="388">
        <f t="shared" si="8"/>
        <v>0</v>
      </c>
      <c r="H209" s="390">
        <f t="shared" si="7"/>
        <v>0</v>
      </c>
      <c r="I209" s="247" t="s">
        <v>325</v>
      </c>
      <c r="J209" s="30">
        <v>11250000</v>
      </c>
      <c r="K209" s="300" t="s">
        <v>146</v>
      </c>
      <c r="L209" s="301" t="s">
        <v>121</v>
      </c>
      <c r="M209" s="302">
        <v>4</v>
      </c>
      <c r="N209" s="302" t="s">
        <v>124</v>
      </c>
      <c r="O209" s="303" t="s">
        <v>136</v>
      </c>
      <c r="P209" s="30">
        <f t="shared" si="9"/>
        <v>45000000</v>
      </c>
      <c r="Q209" s="254" t="s">
        <v>146</v>
      </c>
    </row>
    <row r="210" spans="1:17" ht="17.45" customHeight="1">
      <c r="A210" s="212"/>
      <c r="B210" s="343"/>
      <c r="C210" s="371" t="s">
        <v>236</v>
      </c>
      <c r="D210" s="215">
        <v>40000</v>
      </c>
      <c r="E210" s="364">
        <f t="shared" si="6"/>
        <v>40000</v>
      </c>
      <c r="F210" s="255"/>
      <c r="G210" s="364">
        <f t="shared" si="8"/>
        <v>0</v>
      </c>
      <c r="H210" s="372">
        <f t="shared" si="7"/>
        <v>0</v>
      </c>
      <c r="I210" s="257" t="s">
        <v>325</v>
      </c>
      <c r="J210" s="30">
        <v>10000000</v>
      </c>
      <c r="K210" s="300" t="s">
        <v>146</v>
      </c>
      <c r="L210" s="301" t="s">
        <v>121</v>
      </c>
      <c r="M210" s="302">
        <v>4</v>
      </c>
      <c r="N210" s="302" t="s">
        <v>124</v>
      </c>
      <c r="O210" s="303" t="s">
        <v>136</v>
      </c>
      <c r="P210" s="30">
        <f t="shared" si="9"/>
        <v>40000000</v>
      </c>
      <c r="Q210" s="254" t="s">
        <v>146</v>
      </c>
    </row>
    <row r="211" spans="1:17" ht="18" customHeight="1">
      <c r="A211" s="160"/>
      <c r="B211" s="326"/>
      <c r="C211" s="383" t="s">
        <v>59</v>
      </c>
      <c r="D211" s="245">
        <v>53333</v>
      </c>
      <c r="E211" s="388">
        <f t="shared" si="6"/>
        <v>53333</v>
      </c>
      <c r="F211" s="246"/>
      <c r="G211" s="388">
        <f t="shared" si="8"/>
        <v>0</v>
      </c>
      <c r="H211" s="390">
        <f t="shared" si="7"/>
        <v>0</v>
      </c>
      <c r="I211" s="247" t="s">
        <v>325</v>
      </c>
      <c r="J211" s="30">
        <v>13333250</v>
      </c>
      <c r="K211" s="300" t="s">
        <v>146</v>
      </c>
      <c r="L211" s="301" t="s">
        <v>121</v>
      </c>
      <c r="M211" s="302">
        <v>4</v>
      </c>
      <c r="N211" s="302" t="s">
        <v>124</v>
      </c>
      <c r="O211" s="303" t="s">
        <v>136</v>
      </c>
      <c r="P211" s="30">
        <f t="shared" si="9"/>
        <v>53333000</v>
      </c>
      <c r="Q211" s="254" t="s">
        <v>146</v>
      </c>
    </row>
    <row r="212" spans="1:17" ht="17.45" customHeight="1">
      <c r="A212" s="160"/>
      <c r="B212" s="326"/>
      <c r="C212" s="253" t="s">
        <v>30</v>
      </c>
      <c r="D212" s="389">
        <v>394999.99999979994</v>
      </c>
      <c r="E212" s="388">
        <f t="shared" si="6"/>
        <v>394999.99999979994</v>
      </c>
      <c r="F212" s="246"/>
      <c r="G212" s="388">
        <f>+E212-D212</f>
        <v>0</v>
      </c>
      <c r="H212" s="390">
        <f t="shared" si="7"/>
        <v>0</v>
      </c>
      <c r="I212" s="247" t="s">
        <v>417</v>
      </c>
      <c r="J212" s="30">
        <v>30384615.384599999</v>
      </c>
      <c r="K212" s="300" t="s">
        <v>146</v>
      </c>
      <c r="L212" s="301" t="s">
        <v>121</v>
      </c>
      <c r="M212" s="302">
        <v>13</v>
      </c>
      <c r="N212" s="302" t="s">
        <v>124</v>
      </c>
      <c r="O212" s="303" t="s">
        <v>136</v>
      </c>
      <c r="P212" s="30">
        <f t="shared" si="9"/>
        <v>394999999.99979997</v>
      </c>
      <c r="Q212" s="254" t="s">
        <v>146</v>
      </c>
    </row>
    <row r="213" spans="1:17" ht="17.45" customHeight="1">
      <c r="A213" s="160"/>
      <c r="B213" s="326"/>
      <c r="C213" s="383" t="s">
        <v>187</v>
      </c>
      <c r="D213" s="245">
        <v>40000</v>
      </c>
      <c r="E213" s="388">
        <f t="shared" si="6"/>
        <v>40000</v>
      </c>
      <c r="F213" s="246"/>
      <c r="G213" s="388">
        <f>E213-D213</f>
        <v>0</v>
      </c>
      <c r="H213" s="390">
        <f t="shared" si="7"/>
        <v>0</v>
      </c>
      <c r="I213" s="247" t="s">
        <v>325</v>
      </c>
      <c r="J213" s="30">
        <v>10000000</v>
      </c>
      <c r="K213" s="300" t="s">
        <v>146</v>
      </c>
      <c r="L213" s="301" t="s">
        <v>121</v>
      </c>
      <c r="M213" s="302">
        <v>4</v>
      </c>
      <c r="N213" s="302" t="s">
        <v>124</v>
      </c>
      <c r="O213" s="303" t="s">
        <v>136</v>
      </c>
      <c r="P213" s="30">
        <f t="shared" si="9"/>
        <v>40000000</v>
      </c>
      <c r="Q213" s="254" t="s">
        <v>146</v>
      </c>
    </row>
    <row r="214" spans="1:17" ht="17.45" customHeight="1">
      <c r="A214" s="212"/>
      <c r="B214" s="343"/>
      <c r="C214" s="385" t="s">
        <v>92</v>
      </c>
      <c r="D214" s="367">
        <v>18000</v>
      </c>
      <c r="E214" s="364">
        <f t="shared" si="6"/>
        <v>18000</v>
      </c>
      <c r="F214" s="255"/>
      <c r="G214" s="364">
        <f>+E214-D214</f>
        <v>0</v>
      </c>
      <c r="H214" s="372">
        <f t="shared" si="7"/>
        <v>0</v>
      </c>
      <c r="I214" s="247" t="s">
        <v>325</v>
      </c>
      <c r="J214" s="30">
        <v>4500000</v>
      </c>
      <c r="K214" s="300" t="s">
        <v>146</v>
      </c>
      <c r="L214" s="301" t="s">
        <v>121</v>
      </c>
      <c r="M214" s="302">
        <v>4</v>
      </c>
      <c r="N214" s="302" t="s">
        <v>124</v>
      </c>
      <c r="O214" s="303" t="s">
        <v>136</v>
      </c>
      <c r="P214" s="30">
        <f t="shared" si="9"/>
        <v>18000000</v>
      </c>
      <c r="Q214" s="254" t="s">
        <v>146</v>
      </c>
    </row>
    <row r="215" spans="1:17" ht="17.45" customHeight="1">
      <c r="A215" s="160"/>
      <c r="B215" s="326"/>
      <c r="C215" s="253" t="s">
        <v>84</v>
      </c>
      <c r="D215" s="389">
        <v>28000</v>
      </c>
      <c r="E215" s="388">
        <f t="shared" si="6"/>
        <v>28000</v>
      </c>
      <c r="F215" s="246"/>
      <c r="G215" s="388">
        <f>E215-D215</f>
        <v>0</v>
      </c>
      <c r="H215" s="390">
        <f>+G215/D215*100</f>
        <v>0</v>
      </c>
      <c r="I215" s="247" t="s">
        <v>325</v>
      </c>
      <c r="J215" s="30">
        <v>7000000</v>
      </c>
      <c r="K215" s="300" t="s">
        <v>146</v>
      </c>
      <c r="L215" s="301" t="s">
        <v>121</v>
      </c>
      <c r="M215" s="302">
        <v>4</v>
      </c>
      <c r="N215" s="302" t="s">
        <v>124</v>
      </c>
      <c r="O215" s="303" t="s">
        <v>136</v>
      </c>
      <c r="P215" s="30">
        <f t="shared" si="9"/>
        <v>28000000</v>
      </c>
      <c r="Q215" s="254" t="s">
        <v>146</v>
      </c>
    </row>
    <row r="216" spans="1:17" ht="17.45" customHeight="1">
      <c r="A216" s="160"/>
      <c r="B216" s="326"/>
      <c r="C216" s="253" t="s">
        <v>83</v>
      </c>
      <c r="D216" s="389">
        <v>2000</v>
      </c>
      <c r="E216" s="388">
        <f t="shared" si="6"/>
        <v>2000</v>
      </c>
      <c r="F216" s="246"/>
      <c r="G216" s="388">
        <f>E216-D216</f>
        <v>0</v>
      </c>
      <c r="H216" s="390">
        <f>+G216/D216*100</f>
        <v>0</v>
      </c>
      <c r="I216" s="247" t="s">
        <v>325</v>
      </c>
      <c r="J216" s="30">
        <v>500000</v>
      </c>
      <c r="K216" s="300" t="s">
        <v>146</v>
      </c>
      <c r="L216" s="301" t="s">
        <v>121</v>
      </c>
      <c r="M216" s="302">
        <v>4</v>
      </c>
      <c r="N216" s="302" t="s">
        <v>124</v>
      </c>
      <c r="O216" s="303" t="s">
        <v>136</v>
      </c>
      <c r="P216" s="30">
        <f t="shared" si="9"/>
        <v>2000000</v>
      </c>
      <c r="Q216" s="254" t="s">
        <v>146</v>
      </c>
    </row>
    <row r="217" spans="1:17" ht="17.45" customHeight="1">
      <c r="A217" s="160"/>
      <c r="B217" s="326"/>
      <c r="C217" s="383" t="s">
        <v>237</v>
      </c>
      <c r="D217" s="389">
        <v>20000</v>
      </c>
      <c r="E217" s="388">
        <f t="shared" si="6"/>
        <v>20000</v>
      </c>
      <c r="F217" s="246"/>
      <c r="G217" s="388">
        <f t="shared" ref="G217:G227" si="10">+E217-D217</f>
        <v>0</v>
      </c>
      <c r="H217" s="390">
        <f>+G217/D217*100</f>
        <v>0</v>
      </c>
      <c r="I217" s="257" t="s">
        <v>325</v>
      </c>
      <c r="J217" s="30">
        <v>5000000</v>
      </c>
      <c r="K217" s="300" t="s">
        <v>146</v>
      </c>
      <c r="L217" s="301" t="s">
        <v>121</v>
      </c>
      <c r="M217" s="302">
        <v>4</v>
      </c>
      <c r="N217" s="302" t="s">
        <v>124</v>
      </c>
      <c r="O217" s="303" t="s">
        <v>136</v>
      </c>
      <c r="P217" s="30">
        <f t="shared" si="9"/>
        <v>20000000</v>
      </c>
      <c r="Q217" s="254" t="s">
        <v>146</v>
      </c>
    </row>
    <row r="218" spans="1:17" ht="17.45" customHeight="1">
      <c r="A218" s="160"/>
      <c r="B218" s="326"/>
      <c r="C218" s="384" t="s">
        <v>109</v>
      </c>
      <c r="D218" s="355">
        <v>2520</v>
      </c>
      <c r="E218" s="388">
        <f t="shared" si="6"/>
        <v>2520</v>
      </c>
      <c r="F218" s="258"/>
      <c r="G218" s="388">
        <f t="shared" si="10"/>
        <v>0</v>
      </c>
      <c r="H218" s="390">
        <f t="shared" ref="H218:H222" si="11">+G218/D218*100</f>
        <v>0</v>
      </c>
      <c r="I218" s="257" t="s">
        <v>325</v>
      </c>
      <c r="J218" s="30">
        <v>2520000</v>
      </c>
      <c r="K218" s="300" t="s">
        <v>146</v>
      </c>
      <c r="L218" s="301" t="s">
        <v>121</v>
      </c>
      <c r="M218" s="302">
        <v>1</v>
      </c>
      <c r="N218" s="302" t="s">
        <v>124</v>
      </c>
      <c r="O218" s="303" t="s">
        <v>136</v>
      </c>
      <c r="P218" s="30">
        <f>J218*M218</f>
        <v>2520000</v>
      </c>
      <c r="Q218" s="254" t="s">
        <v>146</v>
      </c>
    </row>
    <row r="219" spans="1:17" ht="17.45" customHeight="1">
      <c r="A219" s="160"/>
      <c r="B219" s="326"/>
      <c r="C219" s="384" t="s">
        <v>110</v>
      </c>
      <c r="D219" s="355">
        <v>2880</v>
      </c>
      <c r="E219" s="388">
        <f t="shared" si="6"/>
        <v>2880</v>
      </c>
      <c r="F219" s="258"/>
      <c r="G219" s="388">
        <f t="shared" si="10"/>
        <v>0</v>
      </c>
      <c r="H219" s="390">
        <f t="shared" si="11"/>
        <v>0</v>
      </c>
      <c r="I219" s="257" t="s">
        <v>325</v>
      </c>
      <c r="J219" s="30">
        <v>2880000</v>
      </c>
      <c r="K219" s="300" t="s">
        <v>146</v>
      </c>
      <c r="L219" s="301" t="s">
        <v>121</v>
      </c>
      <c r="M219" s="302">
        <v>1</v>
      </c>
      <c r="N219" s="302" t="s">
        <v>124</v>
      </c>
      <c r="O219" s="303" t="s">
        <v>136</v>
      </c>
      <c r="P219" s="30">
        <f>J219*M219</f>
        <v>2880000</v>
      </c>
      <c r="Q219" s="254" t="s">
        <v>146</v>
      </c>
    </row>
    <row r="220" spans="1:17" ht="17.45" customHeight="1">
      <c r="A220" s="160"/>
      <c r="B220" s="326"/>
      <c r="C220" s="384" t="s">
        <v>107</v>
      </c>
      <c r="D220" s="355">
        <v>2880</v>
      </c>
      <c r="E220" s="388">
        <f t="shared" si="6"/>
        <v>2880</v>
      </c>
      <c r="F220" s="258"/>
      <c r="G220" s="388">
        <f t="shared" si="10"/>
        <v>0</v>
      </c>
      <c r="H220" s="390">
        <f t="shared" si="11"/>
        <v>0</v>
      </c>
      <c r="I220" s="257" t="s">
        <v>325</v>
      </c>
      <c r="J220" s="30">
        <v>2880000</v>
      </c>
      <c r="K220" s="300" t="s">
        <v>146</v>
      </c>
      <c r="L220" s="301" t="s">
        <v>121</v>
      </c>
      <c r="M220" s="302">
        <v>1</v>
      </c>
      <c r="N220" s="302" t="s">
        <v>124</v>
      </c>
      <c r="O220" s="303" t="s">
        <v>136</v>
      </c>
      <c r="P220" s="30">
        <f>J220*M220</f>
        <v>2880000</v>
      </c>
      <c r="Q220" s="254" t="s">
        <v>146</v>
      </c>
    </row>
    <row r="221" spans="1:17" ht="17.45" customHeight="1">
      <c r="A221" s="160"/>
      <c r="B221" s="326"/>
      <c r="C221" s="384" t="s">
        <v>108</v>
      </c>
      <c r="D221" s="355">
        <v>2520</v>
      </c>
      <c r="E221" s="388">
        <f t="shared" si="6"/>
        <v>2520</v>
      </c>
      <c r="F221" s="258"/>
      <c r="G221" s="388">
        <f t="shared" si="10"/>
        <v>0</v>
      </c>
      <c r="H221" s="390">
        <f t="shared" si="11"/>
        <v>0</v>
      </c>
      <c r="I221" s="257" t="s">
        <v>325</v>
      </c>
      <c r="J221" s="30">
        <v>2520000</v>
      </c>
      <c r="K221" s="300" t="s">
        <v>146</v>
      </c>
      <c r="L221" s="301" t="s">
        <v>121</v>
      </c>
      <c r="M221" s="302">
        <v>1</v>
      </c>
      <c r="N221" s="302" t="s">
        <v>124</v>
      </c>
      <c r="O221" s="303" t="s">
        <v>136</v>
      </c>
      <c r="P221" s="30">
        <f>J221*M221</f>
        <v>2520000</v>
      </c>
      <c r="Q221" s="254" t="s">
        <v>146</v>
      </c>
    </row>
    <row r="222" spans="1:17" ht="17.45" customHeight="1">
      <c r="A222" s="160"/>
      <c r="B222" s="326"/>
      <c r="C222" s="253" t="s">
        <v>111</v>
      </c>
      <c r="D222" s="388">
        <v>2520</v>
      </c>
      <c r="E222" s="388">
        <f t="shared" si="6"/>
        <v>2520</v>
      </c>
      <c r="F222" s="246"/>
      <c r="G222" s="388">
        <f t="shared" si="10"/>
        <v>0</v>
      </c>
      <c r="H222" s="390">
        <f t="shared" si="11"/>
        <v>0</v>
      </c>
      <c r="I222" s="309" t="s">
        <v>325</v>
      </c>
      <c r="J222" s="50">
        <v>2520000</v>
      </c>
      <c r="K222" s="267" t="s">
        <v>146</v>
      </c>
      <c r="L222" s="268" t="s">
        <v>121</v>
      </c>
      <c r="M222" s="269">
        <v>1</v>
      </c>
      <c r="N222" s="269" t="s">
        <v>124</v>
      </c>
      <c r="O222" s="270" t="s">
        <v>136</v>
      </c>
      <c r="P222" s="50">
        <f>J222*M222</f>
        <v>2520000</v>
      </c>
      <c r="Q222" s="256" t="s">
        <v>146</v>
      </c>
    </row>
    <row r="223" spans="1:17" ht="17.45" customHeight="1">
      <c r="A223" s="212" t="s">
        <v>448</v>
      </c>
      <c r="B223" s="343" t="s">
        <v>448</v>
      </c>
      <c r="C223" s="370" t="s">
        <v>272</v>
      </c>
      <c r="D223" s="366">
        <v>3600</v>
      </c>
      <c r="E223" s="364">
        <f t="shared" si="6"/>
        <v>55600</v>
      </c>
      <c r="F223" s="259"/>
      <c r="G223" s="364">
        <f t="shared" si="10"/>
        <v>52000</v>
      </c>
      <c r="H223" s="372">
        <f>+G223/D223*100</f>
        <v>1444.4444444444446</v>
      </c>
      <c r="I223" s="247" t="s">
        <v>325</v>
      </c>
      <c r="J223" s="30">
        <v>11120000</v>
      </c>
      <c r="K223" s="300" t="s">
        <v>146</v>
      </c>
      <c r="L223" s="301" t="s">
        <v>121</v>
      </c>
      <c r="M223" s="302">
        <v>5</v>
      </c>
      <c r="N223" s="302" t="s">
        <v>124</v>
      </c>
      <c r="O223" s="303" t="s">
        <v>136</v>
      </c>
      <c r="P223" s="30">
        <f t="shared" si="9"/>
        <v>55600000</v>
      </c>
      <c r="Q223" s="254" t="s">
        <v>146</v>
      </c>
    </row>
    <row r="224" spans="1:17" ht="17.45" customHeight="1">
      <c r="A224" s="160"/>
      <c r="B224" s="326"/>
      <c r="C224" s="369" t="s">
        <v>249</v>
      </c>
      <c r="D224" s="363">
        <v>13600</v>
      </c>
      <c r="E224" s="388">
        <f t="shared" si="6"/>
        <v>13600</v>
      </c>
      <c r="F224" s="258"/>
      <c r="G224" s="388">
        <f t="shared" si="10"/>
        <v>0</v>
      </c>
      <c r="H224" s="390">
        <f>+G224/D224*100</f>
        <v>0</v>
      </c>
      <c r="I224" s="247" t="s">
        <v>414</v>
      </c>
      <c r="J224" s="30">
        <v>6800000</v>
      </c>
      <c r="K224" s="300" t="s">
        <v>146</v>
      </c>
      <c r="L224" s="301" t="s">
        <v>121</v>
      </c>
      <c r="M224" s="302">
        <v>2</v>
      </c>
      <c r="N224" s="302" t="s">
        <v>124</v>
      </c>
      <c r="O224" s="303" t="s">
        <v>136</v>
      </c>
      <c r="P224" s="30">
        <f t="shared" si="9"/>
        <v>13600000</v>
      </c>
      <c r="Q224" s="254" t="s">
        <v>146</v>
      </c>
    </row>
    <row r="225" spans="1:29" ht="17.45" customHeight="1">
      <c r="A225" s="160"/>
      <c r="B225" s="326"/>
      <c r="C225" s="383" t="s">
        <v>227</v>
      </c>
      <c r="D225" s="389">
        <v>3960</v>
      </c>
      <c r="E225" s="388">
        <f t="shared" si="6"/>
        <v>3960</v>
      </c>
      <c r="F225" s="246"/>
      <c r="G225" s="388">
        <f t="shared" si="10"/>
        <v>0</v>
      </c>
      <c r="H225" s="390">
        <f>G225/D225*100</f>
        <v>0</v>
      </c>
      <c r="I225" s="247" t="s">
        <v>325</v>
      </c>
      <c r="J225" s="30">
        <v>3960000</v>
      </c>
      <c r="K225" s="300" t="s">
        <v>146</v>
      </c>
      <c r="L225" s="301" t="s">
        <v>121</v>
      </c>
      <c r="M225" s="302">
        <v>1</v>
      </c>
      <c r="N225" s="302" t="s">
        <v>124</v>
      </c>
      <c r="O225" s="303" t="s">
        <v>136</v>
      </c>
      <c r="P225" s="30">
        <f t="shared" si="9"/>
        <v>3960000</v>
      </c>
      <c r="Q225" s="254" t="s">
        <v>146</v>
      </c>
    </row>
    <row r="226" spans="1:29" ht="17.45" customHeight="1">
      <c r="A226" s="212"/>
      <c r="B226" s="343"/>
      <c r="C226" s="370" t="s">
        <v>280</v>
      </c>
      <c r="D226" s="366">
        <v>3240</v>
      </c>
      <c r="E226" s="364">
        <f t="shared" si="6"/>
        <v>3240</v>
      </c>
      <c r="F226" s="366" t="e">
        <f>Q226/1000</f>
        <v>#VALUE!</v>
      </c>
      <c r="G226" s="364">
        <f t="shared" si="10"/>
        <v>0</v>
      </c>
      <c r="H226" s="372">
        <f>G226/D226*100</f>
        <v>0</v>
      </c>
      <c r="I226" s="247" t="s">
        <v>325</v>
      </c>
      <c r="J226" s="30">
        <v>3240000</v>
      </c>
      <c r="K226" s="300" t="s">
        <v>146</v>
      </c>
      <c r="L226" s="301" t="s">
        <v>121</v>
      </c>
      <c r="M226" s="302">
        <v>1</v>
      </c>
      <c r="N226" s="302" t="s">
        <v>124</v>
      </c>
      <c r="O226" s="303" t="s">
        <v>136</v>
      </c>
      <c r="P226" s="30">
        <f t="shared" si="9"/>
        <v>3240000</v>
      </c>
      <c r="Q226" s="254" t="s">
        <v>146</v>
      </c>
    </row>
    <row r="227" spans="1:29" ht="17.45" customHeight="1">
      <c r="A227" s="160"/>
      <c r="B227" s="326"/>
      <c r="C227" s="369" t="s">
        <v>230</v>
      </c>
      <c r="D227" s="363">
        <v>13600</v>
      </c>
      <c r="E227" s="388">
        <f t="shared" si="6"/>
        <v>13600</v>
      </c>
      <c r="F227" s="363"/>
      <c r="G227" s="388">
        <f t="shared" si="10"/>
        <v>0</v>
      </c>
      <c r="H227" s="390">
        <f>G227/D227*100</f>
        <v>0</v>
      </c>
      <c r="I227" s="247" t="s">
        <v>414</v>
      </c>
      <c r="J227" s="30">
        <v>6800000</v>
      </c>
      <c r="K227" s="300" t="s">
        <v>146</v>
      </c>
      <c r="L227" s="301" t="s">
        <v>121</v>
      </c>
      <c r="M227" s="302">
        <v>2</v>
      </c>
      <c r="N227" s="302" t="s">
        <v>124</v>
      </c>
      <c r="O227" s="303" t="s">
        <v>136</v>
      </c>
      <c r="P227" s="30">
        <f t="shared" si="9"/>
        <v>13600000</v>
      </c>
      <c r="Q227" s="254" t="s">
        <v>146</v>
      </c>
    </row>
    <row r="228" spans="1:29" ht="17.45" customHeight="1">
      <c r="A228" s="237"/>
      <c r="B228" s="238"/>
      <c r="C228" s="253" t="s">
        <v>20</v>
      </c>
      <c r="D228" s="363">
        <v>2160</v>
      </c>
      <c r="E228" s="388">
        <f t="shared" ref="E228:E235" si="12">P228/1000</f>
        <v>2160</v>
      </c>
      <c r="F228" s="246"/>
      <c r="G228" s="388">
        <f t="shared" ref="G228:G235" si="13">+E228-D228</f>
        <v>0</v>
      </c>
      <c r="H228" s="390">
        <f>G228/D228*100</f>
        <v>0</v>
      </c>
      <c r="I228" s="247" t="s">
        <v>325</v>
      </c>
      <c r="J228" s="30">
        <v>2160000</v>
      </c>
      <c r="K228" s="300" t="s">
        <v>146</v>
      </c>
      <c r="L228" s="301" t="s">
        <v>121</v>
      </c>
      <c r="M228" s="302">
        <v>1</v>
      </c>
      <c r="N228" s="302" t="s">
        <v>124</v>
      </c>
      <c r="O228" s="303" t="s">
        <v>136</v>
      </c>
      <c r="P228" s="30">
        <f t="shared" si="9"/>
        <v>2160000</v>
      </c>
      <c r="Q228" s="254" t="s">
        <v>146</v>
      </c>
      <c r="R228" s="102" t="s">
        <v>299</v>
      </c>
      <c r="S228" s="102" t="s">
        <v>299</v>
      </c>
      <c r="T228" s="102" t="s">
        <v>299</v>
      </c>
      <c r="U228" s="102" t="s">
        <v>299</v>
      </c>
      <c r="V228" s="102" t="s">
        <v>299</v>
      </c>
      <c r="W228" s="102" t="s">
        <v>299</v>
      </c>
      <c r="X228" s="102" t="s">
        <v>299</v>
      </c>
      <c r="Y228" s="102" t="s">
        <v>299</v>
      </c>
      <c r="Z228" s="102" t="s">
        <v>299</v>
      </c>
      <c r="AA228" s="102" t="s">
        <v>299</v>
      </c>
      <c r="AB228" s="102" t="s">
        <v>299</v>
      </c>
      <c r="AC228" s="102"/>
    </row>
    <row r="229" spans="1:29" ht="17.45" customHeight="1">
      <c r="A229" s="160"/>
      <c r="B229" s="326"/>
      <c r="C229" s="370" t="s">
        <v>271</v>
      </c>
      <c r="D229" s="363">
        <v>2520</v>
      </c>
      <c r="E229" s="364">
        <f t="shared" si="12"/>
        <v>2520</v>
      </c>
      <c r="F229" s="259"/>
      <c r="G229" s="364">
        <f t="shared" si="13"/>
        <v>0</v>
      </c>
      <c r="H229" s="372">
        <f>+G229/D229*100</f>
        <v>0</v>
      </c>
      <c r="I229" s="247" t="s">
        <v>325</v>
      </c>
      <c r="J229" s="30">
        <v>2520000</v>
      </c>
      <c r="K229" s="300" t="s">
        <v>146</v>
      </c>
      <c r="L229" s="301" t="s">
        <v>121</v>
      </c>
      <c r="M229" s="302">
        <v>1</v>
      </c>
      <c r="N229" s="302" t="s">
        <v>124</v>
      </c>
      <c r="O229" s="303" t="s">
        <v>136</v>
      </c>
      <c r="P229" s="30">
        <f t="shared" si="9"/>
        <v>2520000</v>
      </c>
      <c r="Q229" s="254" t="s">
        <v>146</v>
      </c>
    </row>
    <row r="230" spans="1:29" ht="17.45" customHeight="1">
      <c r="A230" s="160"/>
      <c r="B230" s="326"/>
      <c r="C230" s="384" t="s">
        <v>22</v>
      </c>
      <c r="D230" s="363">
        <v>11243.7</v>
      </c>
      <c r="E230" s="388">
        <f t="shared" si="12"/>
        <v>11243.7</v>
      </c>
      <c r="F230" s="258"/>
      <c r="G230" s="388">
        <f t="shared" si="13"/>
        <v>0</v>
      </c>
      <c r="H230" s="372">
        <f>+G230/D230*100</f>
        <v>0</v>
      </c>
      <c r="I230" s="247" t="s">
        <v>414</v>
      </c>
      <c r="J230" s="30">
        <v>5621850</v>
      </c>
      <c r="K230" s="300" t="s">
        <v>146</v>
      </c>
      <c r="L230" s="301" t="s">
        <v>121</v>
      </c>
      <c r="M230" s="302">
        <v>2</v>
      </c>
      <c r="N230" s="302" t="s">
        <v>124</v>
      </c>
      <c r="O230" s="303" t="s">
        <v>136</v>
      </c>
      <c r="P230" s="30">
        <f t="shared" si="9"/>
        <v>11243700</v>
      </c>
      <c r="Q230" s="254" t="s">
        <v>146</v>
      </c>
    </row>
    <row r="231" spans="1:29" ht="17.45" customHeight="1">
      <c r="A231" s="160"/>
      <c r="B231" s="326"/>
      <c r="C231" s="369" t="s">
        <v>185</v>
      </c>
      <c r="D231" s="363">
        <v>3960</v>
      </c>
      <c r="E231" s="388">
        <f t="shared" si="12"/>
        <v>3960</v>
      </c>
      <c r="F231" s="246"/>
      <c r="G231" s="388">
        <f t="shared" si="13"/>
        <v>0</v>
      </c>
      <c r="H231" s="372">
        <f>+G231/D231*100</f>
        <v>0</v>
      </c>
      <c r="I231" s="247" t="s">
        <v>325</v>
      </c>
      <c r="J231" s="30">
        <v>3960000</v>
      </c>
      <c r="K231" s="300" t="s">
        <v>146</v>
      </c>
      <c r="L231" s="301" t="s">
        <v>121</v>
      </c>
      <c r="M231" s="302">
        <v>1</v>
      </c>
      <c r="N231" s="302" t="s">
        <v>124</v>
      </c>
      <c r="O231" s="303" t="s">
        <v>136</v>
      </c>
      <c r="P231" s="30">
        <f t="shared" si="9"/>
        <v>3960000</v>
      </c>
      <c r="Q231" s="254" t="s">
        <v>146</v>
      </c>
    </row>
    <row r="232" spans="1:29" ht="17.45" customHeight="1">
      <c r="A232" s="160"/>
      <c r="B232" s="326"/>
      <c r="C232" s="369" t="s">
        <v>213</v>
      </c>
      <c r="D232" s="363">
        <v>3600</v>
      </c>
      <c r="E232" s="388">
        <f t="shared" si="12"/>
        <v>3600</v>
      </c>
      <c r="F232" s="258"/>
      <c r="G232" s="388">
        <f t="shared" si="13"/>
        <v>0</v>
      </c>
      <c r="H232" s="372">
        <f>+G232/D232*100</f>
        <v>0</v>
      </c>
      <c r="I232" s="247" t="s">
        <v>325</v>
      </c>
      <c r="J232" s="30">
        <v>3600000</v>
      </c>
      <c r="K232" s="300" t="s">
        <v>146</v>
      </c>
      <c r="L232" s="301" t="s">
        <v>121</v>
      </c>
      <c r="M232" s="302">
        <v>1</v>
      </c>
      <c r="N232" s="302" t="s">
        <v>124</v>
      </c>
      <c r="O232" s="303" t="s">
        <v>136</v>
      </c>
      <c r="P232" s="30">
        <f t="shared" si="9"/>
        <v>3600000</v>
      </c>
      <c r="Q232" s="254" t="s">
        <v>146</v>
      </c>
    </row>
    <row r="233" spans="1:29" ht="17.45" customHeight="1">
      <c r="A233" s="160"/>
      <c r="B233" s="326"/>
      <c r="C233" s="369" t="s">
        <v>255</v>
      </c>
      <c r="D233" s="363">
        <v>3240</v>
      </c>
      <c r="E233" s="388">
        <f t="shared" si="12"/>
        <v>3240</v>
      </c>
      <c r="F233" s="258"/>
      <c r="G233" s="388">
        <f t="shared" si="13"/>
        <v>0</v>
      </c>
      <c r="H233" s="390">
        <f>G233/D233*100</f>
        <v>0</v>
      </c>
      <c r="I233" s="247" t="s">
        <v>325</v>
      </c>
      <c r="J233" s="30">
        <v>3240000</v>
      </c>
      <c r="K233" s="300" t="s">
        <v>146</v>
      </c>
      <c r="L233" s="301" t="s">
        <v>121</v>
      </c>
      <c r="M233" s="302">
        <v>1</v>
      </c>
      <c r="N233" s="302" t="s">
        <v>124</v>
      </c>
      <c r="O233" s="303" t="s">
        <v>136</v>
      </c>
      <c r="P233" s="30">
        <f t="shared" si="9"/>
        <v>3240000</v>
      </c>
      <c r="Q233" s="254" t="s">
        <v>146</v>
      </c>
    </row>
    <row r="234" spans="1:29" ht="17.45" customHeight="1">
      <c r="A234" s="160"/>
      <c r="B234" s="326"/>
      <c r="C234" s="383" t="s">
        <v>268</v>
      </c>
      <c r="D234" s="363">
        <v>3600</v>
      </c>
      <c r="E234" s="388">
        <f t="shared" si="12"/>
        <v>3600</v>
      </c>
      <c r="F234" s="246"/>
      <c r="G234" s="388">
        <f t="shared" si="13"/>
        <v>0</v>
      </c>
      <c r="H234" s="390">
        <f>G234/D234*100</f>
        <v>0</v>
      </c>
      <c r="I234" s="257" t="s">
        <v>325</v>
      </c>
      <c r="J234" s="30">
        <v>3600000</v>
      </c>
      <c r="K234" s="300" t="s">
        <v>146</v>
      </c>
      <c r="L234" s="301" t="s">
        <v>121</v>
      </c>
      <c r="M234" s="302">
        <v>1</v>
      </c>
      <c r="N234" s="302" t="s">
        <v>124</v>
      </c>
      <c r="O234" s="303" t="s">
        <v>136</v>
      </c>
      <c r="P234" s="30">
        <f t="shared" si="9"/>
        <v>3600000</v>
      </c>
      <c r="Q234" s="254" t="s">
        <v>146</v>
      </c>
    </row>
    <row r="235" spans="1:29" ht="17.45" customHeight="1">
      <c r="A235" s="160"/>
      <c r="B235" s="326"/>
      <c r="C235" s="385" t="s">
        <v>16</v>
      </c>
      <c r="D235" s="363">
        <v>3960</v>
      </c>
      <c r="E235" s="388">
        <f t="shared" si="12"/>
        <v>3960</v>
      </c>
      <c r="F235" s="255"/>
      <c r="G235" s="388">
        <f t="shared" si="13"/>
        <v>0</v>
      </c>
      <c r="H235" s="390">
        <f>G235/D235*100</f>
        <v>0</v>
      </c>
      <c r="I235" s="247" t="s">
        <v>325</v>
      </c>
      <c r="J235" s="30">
        <v>3960000</v>
      </c>
      <c r="K235" s="300" t="s">
        <v>146</v>
      </c>
      <c r="L235" s="301" t="s">
        <v>121</v>
      </c>
      <c r="M235" s="302">
        <v>1</v>
      </c>
      <c r="N235" s="302" t="s">
        <v>124</v>
      </c>
      <c r="O235" s="303" t="s">
        <v>136</v>
      </c>
      <c r="P235" s="30">
        <f t="shared" si="9"/>
        <v>3960000</v>
      </c>
      <c r="Q235" s="254" t="s">
        <v>146</v>
      </c>
    </row>
    <row r="236" spans="1:29" ht="17.45" customHeight="1">
      <c r="A236" s="160"/>
      <c r="B236" s="326"/>
      <c r="C236" s="253" t="s">
        <v>63</v>
      </c>
      <c r="D236" s="389">
        <v>2500</v>
      </c>
      <c r="E236" s="388">
        <f t="shared" ref="E236:E244" si="14">P236/1000</f>
        <v>2500</v>
      </c>
      <c r="F236" s="246"/>
      <c r="G236" s="388">
        <f t="shared" ref="G236:G245" si="15">+E236-D236</f>
        <v>0</v>
      </c>
      <c r="H236" s="390">
        <f t="shared" ref="H236:H244" si="16">+G236/D236*100</f>
        <v>0</v>
      </c>
      <c r="I236" s="247" t="s">
        <v>325</v>
      </c>
      <c r="J236" s="30">
        <v>2500000</v>
      </c>
      <c r="K236" s="300" t="s">
        <v>146</v>
      </c>
      <c r="L236" s="301" t="s">
        <v>121</v>
      </c>
      <c r="M236" s="302">
        <v>1</v>
      </c>
      <c r="N236" s="302" t="s">
        <v>124</v>
      </c>
      <c r="O236" s="303" t="s">
        <v>136</v>
      </c>
      <c r="P236" s="30">
        <f t="shared" si="9"/>
        <v>2500000</v>
      </c>
      <c r="Q236" s="254" t="s">
        <v>146</v>
      </c>
    </row>
    <row r="237" spans="1:29" ht="17.45" customHeight="1">
      <c r="A237" s="212"/>
      <c r="B237" s="343"/>
      <c r="C237" s="383" t="s">
        <v>320</v>
      </c>
      <c r="D237" s="389">
        <v>2400</v>
      </c>
      <c r="E237" s="388">
        <f t="shared" si="14"/>
        <v>2400</v>
      </c>
      <c r="F237" s="246"/>
      <c r="G237" s="388">
        <f t="shared" si="15"/>
        <v>0</v>
      </c>
      <c r="H237" s="390">
        <f t="shared" si="16"/>
        <v>0</v>
      </c>
      <c r="I237" s="247" t="s">
        <v>325</v>
      </c>
      <c r="J237" s="30">
        <v>2400000</v>
      </c>
      <c r="K237" s="300" t="s">
        <v>146</v>
      </c>
      <c r="L237" s="301" t="s">
        <v>121</v>
      </c>
      <c r="M237" s="302">
        <v>1</v>
      </c>
      <c r="N237" s="302" t="s">
        <v>124</v>
      </c>
      <c r="O237" s="303" t="s">
        <v>136</v>
      </c>
      <c r="P237" s="30">
        <f t="shared" si="9"/>
        <v>2400000</v>
      </c>
      <c r="Q237" s="254" t="s">
        <v>146</v>
      </c>
    </row>
    <row r="238" spans="1:29" ht="17.45" customHeight="1">
      <c r="A238" s="212"/>
      <c r="B238" s="343"/>
      <c r="C238" s="260" t="s">
        <v>47</v>
      </c>
      <c r="D238" s="367">
        <v>89859.999960000016</v>
      </c>
      <c r="E238" s="364">
        <f t="shared" si="14"/>
        <v>89859.999960000016</v>
      </c>
      <c r="F238" s="255"/>
      <c r="G238" s="364">
        <f t="shared" si="15"/>
        <v>0</v>
      </c>
      <c r="H238" s="372">
        <f t="shared" si="16"/>
        <v>0</v>
      </c>
      <c r="I238" s="247" t="s">
        <v>325</v>
      </c>
      <c r="J238" s="30">
        <v>7488333.3300000001</v>
      </c>
      <c r="K238" s="300" t="s">
        <v>146</v>
      </c>
      <c r="L238" s="301" t="s">
        <v>121</v>
      </c>
      <c r="M238" s="302">
        <v>12</v>
      </c>
      <c r="N238" s="302" t="s">
        <v>124</v>
      </c>
      <c r="O238" s="303" t="s">
        <v>136</v>
      </c>
      <c r="P238" s="30">
        <f t="shared" si="9"/>
        <v>89859999.960000008</v>
      </c>
      <c r="Q238" s="254" t="s">
        <v>146</v>
      </c>
    </row>
    <row r="239" spans="1:29" ht="17.45" customHeight="1">
      <c r="A239" s="212"/>
      <c r="B239" s="343"/>
      <c r="C239" s="261" t="s">
        <v>52</v>
      </c>
      <c r="D239" s="367">
        <v>3000</v>
      </c>
      <c r="E239" s="364">
        <f t="shared" si="14"/>
        <v>3000</v>
      </c>
      <c r="F239" s="255"/>
      <c r="G239" s="364">
        <f t="shared" si="15"/>
        <v>0</v>
      </c>
      <c r="H239" s="372">
        <f t="shared" si="16"/>
        <v>0</v>
      </c>
      <c r="I239" s="247" t="s">
        <v>325</v>
      </c>
      <c r="J239" s="30">
        <v>3000000</v>
      </c>
      <c r="K239" s="300" t="s">
        <v>146</v>
      </c>
      <c r="L239" s="301" t="s">
        <v>121</v>
      </c>
      <c r="M239" s="302">
        <v>1</v>
      </c>
      <c r="N239" s="302" t="s">
        <v>124</v>
      </c>
      <c r="O239" s="303" t="s">
        <v>136</v>
      </c>
      <c r="P239" s="30">
        <f t="shared" si="9"/>
        <v>3000000</v>
      </c>
      <c r="Q239" s="254" t="s">
        <v>146</v>
      </c>
    </row>
    <row r="240" spans="1:29" ht="17.45" customHeight="1">
      <c r="A240" s="160"/>
      <c r="B240" s="326"/>
      <c r="C240" s="253" t="s">
        <v>420</v>
      </c>
      <c r="D240" s="389">
        <v>3000</v>
      </c>
      <c r="E240" s="388">
        <f t="shared" si="14"/>
        <v>3000</v>
      </c>
      <c r="F240" s="246"/>
      <c r="G240" s="388">
        <f t="shared" si="15"/>
        <v>0</v>
      </c>
      <c r="H240" s="390">
        <f t="shared" si="16"/>
        <v>0</v>
      </c>
      <c r="I240" s="247" t="s">
        <v>325</v>
      </c>
      <c r="J240" s="30">
        <v>3000000</v>
      </c>
      <c r="K240" s="300" t="s">
        <v>146</v>
      </c>
      <c r="L240" s="301" t="s">
        <v>121</v>
      </c>
      <c r="M240" s="302">
        <v>1</v>
      </c>
      <c r="N240" s="302" t="s">
        <v>124</v>
      </c>
      <c r="O240" s="303" t="s">
        <v>136</v>
      </c>
      <c r="P240" s="30">
        <f t="shared" si="9"/>
        <v>3000000</v>
      </c>
      <c r="Q240" s="254" t="s">
        <v>146</v>
      </c>
    </row>
    <row r="241" spans="1:17" ht="17.45" customHeight="1">
      <c r="A241" s="160"/>
      <c r="B241" s="326"/>
      <c r="C241" s="371" t="s">
        <v>224</v>
      </c>
      <c r="D241" s="367">
        <v>3600</v>
      </c>
      <c r="E241" s="364">
        <f t="shared" si="14"/>
        <v>3600</v>
      </c>
      <c r="F241" s="255"/>
      <c r="G241" s="364">
        <f t="shared" si="15"/>
        <v>0</v>
      </c>
      <c r="H241" s="372">
        <f t="shared" si="16"/>
        <v>0</v>
      </c>
      <c r="I241" s="247" t="s">
        <v>325</v>
      </c>
      <c r="J241" s="30">
        <v>3600000</v>
      </c>
      <c r="K241" s="300" t="s">
        <v>146</v>
      </c>
      <c r="L241" s="301" t="s">
        <v>121</v>
      </c>
      <c r="M241" s="302">
        <v>1</v>
      </c>
      <c r="N241" s="302" t="s">
        <v>124</v>
      </c>
      <c r="O241" s="303" t="s">
        <v>136</v>
      </c>
      <c r="P241" s="30">
        <f t="shared" si="9"/>
        <v>3600000</v>
      </c>
      <c r="Q241" s="254" t="s">
        <v>146</v>
      </c>
    </row>
    <row r="242" spans="1:17" ht="17.45" customHeight="1">
      <c r="A242" s="160"/>
      <c r="B242" s="326"/>
      <c r="C242" s="253" t="s">
        <v>403</v>
      </c>
      <c r="D242" s="389">
        <v>3000</v>
      </c>
      <c r="E242" s="388">
        <f t="shared" si="14"/>
        <v>3000</v>
      </c>
      <c r="F242" s="246"/>
      <c r="G242" s="388">
        <f t="shared" si="15"/>
        <v>0</v>
      </c>
      <c r="H242" s="390">
        <f t="shared" si="16"/>
        <v>0</v>
      </c>
      <c r="I242" s="247" t="s">
        <v>325</v>
      </c>
      <c r="J242" s="30">
        <v>3000000</v>
      </c>
      <c r="K242" s="300" t="s">
        <v>146</v>
      </c>
      <c r="L242" s="301" t="s">
        <v>121</v>
      </c>
      <c r="M242" s="302">
        <v>1</v>
      </c>
      <c r="N242" s="302" t="s">
        <v>124</v>
      </c>
      <c r="O242" s="303" t="s">
        <v>136</v>
      </c>
      <c r="P242" s="30">
        <f t="shared" si="9"/>
        <v>3000000</v>
      </c>
      <c r="Q242" s="254" t="s">
        <v>146</v>
      </c>
    </row>
    <row r="243" spans="1:17" ht="17.45" customHeight="1">
      <c r="A243" s="160"/>
      <c r="B243" s="326"/>
      <c r="C243" s="253" t="s">
        <v>8</v>
      </c>
      <c r="D243" s="389">
        <v>16000</v>
      </c>
      <c r="E243" s="388">
        <f t="shared" si="14"/>
        <v>16000</v>
      </c>
      <c r="F243" s="246"/>
      <c r="G243" s="388">
        <f t="shared" si="15"/>
        <v>0</v>
      </c>
      <c r="H243" s="390">
        <f t="shared" si="16"/>
        <v>0</v>
      </c>
      <c r="I243" s="247" t="s">
        <v>414</v>
      </c>
      <c r="J243" s="30">
        <v>8000000</v>
      </c>
      <c r="K243" s="300" t="s">
        <v>146</v>
      </c>
      <c r="L243" s="301" t="s">
        <v>121</v>
      </c>
      <c r="M243" s="302">
        <v>2</v>
      </c>
      <c r="N243" s="302" t="s">
        <v>124</v>
      </c>
      <c r="O243" s="303" t="s">
        <v>136</v>
      </c>
      <c r="P243" s="30">
        <f t="shared" si="9"/>
        <v>16000000</v>
      </c>
      <c r="Q243" s="254" t="s">
        <v>146</v>
      </c>
    </row>
    <row r="244" spans="1:17" ht="17.45" customHeight="1">
      <c r="A244" s="212"/>
      <c r="B244" s="343"/>
      <c r="C244" s="371" t="s">
        <v>217</v>
      </c>
      <c r="D244" s="367">
        <v>2700</v>
      </c>
      <c r="E244" s="364">
        <f t="shared" si="14"/>
        <v>2700</v>
      </c>
      <c r="F244" s="255"/>
      <c r="G244" s="364">
        <f t="shared" si="15"/>
        <v>0</v>
      </c>
      <c r="H244" s="372">
        <f t="shared" si="16"/>
        <v>0</v>
      </c>
      <c r="I244" s="247" t="s">
        <v>325</v>
      </c>
      <c r="J244" s="30">
        <v>2700000</v>
      </c>
      <c r="K244" s="300" t="s">
        <v>146</v>
      </c>
      <c r="L244" s="301" t="s">
        <v>121</v>
      </c>
      <c r="M244" s="302">
        <v>1</v>
      </c>
      <c r="N244" s="302" t="s">
        <v>124</v>
      </c>
      <c r="O244" s="303" t="s">
        <v>136</v>
      </c>
      <c r="P244" s="30">
        <f t="shared" si="9"/>
        <v>2700000</v>
      </c>
      <c r="Q244" s="254" t="s">
        <v>146</v>
      </c>
    </row>
    <row r="245" spans="1:17" ht="17.45" customHeight="1">
      <c r="A245" s="212"/>
      <c r="B245" s="343"/>
      <c r="C245" s="383" t="s">
        <v>200</v>
      </c>
      <c r="D245" s="389">
        <v>2400</v>
      </c>
      <c r="E245" s="388">
        <f t="shared" ref="E245:E259" si="17">P245/1000</f>
        <v>2400</v>
      </c>
      <c r="F245" s="246"/>
      <c r="G245" s="388">
        <f t="shared" si="15"/>
        <v>0</v>
      </c>
      <c r="H245" s="390">
        <f t="shared" ref="H245:H253" si="18">+G245/D245*100</f>
        <v>0</v>
      </c>
      <c r="I245" s="247" t="s">
        <v>325</v>
      </c>
      <c r="J245" s="30">
        <v>2400000</v>
      </c>
      <c r="K245" s="300" t="s">
        <v>146</v>
      </c>
      <c r="L245" s="301" t="s">
        <v>121</v>
      </c>
      <c r="M245" s="302">
        <v>1</v>
      </c>
      <c r="N245" s="302" t="s">
        <v>124</v>
      </c>
      <c r="O245" s="303" t="s">
        <v>136</v>
      </c>
      <c r="P245" s="30">
        <f t="shared" si="9"/>
        <v>2400000</v>
      </c>
      <c r="Q245" s="254" t="s">
        <v>146</v>
      </c>
    </row>
    <row r="246" spans="1:17" ht="17.45" customHeight="1">
      <c r="A246" s="160"/>
      <c r="B246" s="326"/>
      <c r="C246" s="369" t="s">
        <v>315</v>
      </c>
      <c r="D246" s="363">
        <v>6000</v>
      </c>
      <c r="E246" s="388">
        <f>P246/1000</f>
        <v>6957.09</v>
      </c>
      <c r="F246" s="258"/>
      <c r="G246" s="388">
        <f>+E246-D246</f>
        <v>957.09000000000015</v>
      </c>
      <c r="H246" s="390">
        <f>+G246/D246*100</f>
        <v>15.951500000000001</v>
      </c>
      <c r="I246" s="247" t="s">
        <v>325</v>
      </c>
      <c r="J246" s="30">
        <v>3478545</v>
      </c>
      <c r="K246" s="300" t="s">
        <v>146</v>
      </c>
      <c r="L246" s="301" t="s">
        <v>121</v>
      </c>
      <c r="M246" s="302">
        <v>2</v>
      </c>
      <c r="N246" s="302" t="s">
        <v>124</v>
      </c>
      <c r="O246" s="303" t="s">
        <v>136</v>
      </c>
      <c r="P246" s="30">
        <f>J246*M246</f>
        <v>6957090</v>
      </c>
      <c r="Q246" s="254" t="s">
        <v>146</v>
      </c>
    </row>
    <row r="247" spans="1:17" ht="17.45" customHeight="1">
      <c r="A247" s="212"/>
      <c r="B247" s="343"/>
      <c r="C247" s="384" t="s">
        <v>90</v>
      </c>
      <c r="D247" s="363">
        <v>12600</v>
      </c>
      <c r="E247" s="388">
        <f>P247/1000</f>
        <v>12600</v>
      </c>
      <c r="F247" s="258"/>
      <c r="G247" s="388">
        <f>+E247-D247</f>
        <v>0</v>
      </c>
      <c r="H247" s="390">
        <f t="shared" si="18"/>
        <v>0</v>
      </c>
      <c r="I247" s="247" t="s">
        <v>414</v>
      </c>
      <c r="J247" s="30">
        <v>1050000</v>
      </c>
      <c r="K247" s="300" t="s">
        <v>146</v>
      </c>
      <c r="L247" s="301" t="s">
        <v>121</v>
      </c>
      <c r="M247" s="302">
        <v>12</v>
      </c>
      <c r="N247" s="302" t="s">
        <v>124</v>
      </c>
      <c r="O247" s="303" t="s">
        <v>136</v>
      </c>
      <c r="P247" s="30">
        <f>J247*M247</f>
        <v>12600000</v>
      </c>
      <c r="Q247" s="254" t="s">
        <v>146</v>
      </c>
    </row>
    <row r="248" spans="1:17" ht="17.45" customHeight="1">
      <c r="A248" s="160"/>
      <c r="B248" s="326"/>
      <c r="C248" s="384" t="s">
        <v>78</v>
      </c>
      <c r="D248" s="363">
        <v>720</v>
      </c>
      <c r="E248" s="388">
        <f t="shared" si="17"/>
        <v>720</v>
      </c>
      <c r="F248" s="258"/>
      <c r="G248" s="388">
        <f t="shared" ref="G248:G259" si="19">+E248-D248</f>
        <v>0</v>
      </c>
      <c r="H248" s="390">
        <f t="shared" si="18"/>
        <v>0</v>
      </c>
      <c r="I248" s="247" t="s">
        <v>325</v>
      </c>
      <c r="J248" s="30">
        <v>720000</v>
      </c>
      <c r="K248" s="300" t="s">
        <v>146</v>
      </c>
      <c r="L248" s="301" t="s">
        <v>121</v>
      </c>
      <c r="M248" s="302">
        <v>1</v>
      </c>
      <c r="N248" s="302" t="s">
        <v>124</v>
      </c>
      <c r="O248" s="303" t="s">
        <v>136</v>
      </c>
      <c r="P248" s="30">
        <f t="shared" si="9"/>
        <v>720000</v>
      </c>
      <c r="Q248" s="254" t="s">
        <v>146</v>
      </c>
    </row>
    <row r="249" spans="1:17" ht="17.45" customHeight="1">
      <c r="A249" s="160"/>
      <c r="B249" s="326"/>
      <c r="C249" s="253" t="s">
        <v>283</v>
      </c>
      <c r="D249" s="389">
        <v>1440</v>
      </c>
      <c r="E249" s="388">
        <f t="shared" si="17"/>
        <v>1440</v>
      </c>
      <c r="F249" s="258"/>
      <c r="G249" s="388">
        <f t="shared" si="19"/>
        <v>0</v>
      </c>
      <c r="H249" s="390">
        <f t="shared" si="18"/>
        <v>0</v>
      </c>
      <c r="I249" s="247" t="s">
        <v>325</v>
      </c>
      <c r="J249" s="30">
        <v>1440000</v>
      </c>
      <c r="K249" s="300" t="s">
        <v>146</v>
      </c>
      <c r="L249" s="301" t="s">
        <v>121</v>
      </c>
      <c r="M249" s="302">
        <v>1</v>
      </c>
      <c r="N249" s="302" t="s">
        <v>124</v>
      </c>
      <c r="O249" s="303" t="s">
        <v>136</v>
      </c>
      <c r="P249" s="30">
        <f t="shared" si="9"/>
        <v>1440000</v>
      </c>
      <c r="Q249" s="254" t="s">
        <v>146</v>
      </c>
    </row>
    <row r="250" spans="1:17" ht="17.45" customHeight="1">
      <c r="A250" s="212"/>
      <c r="B250" s="343"/>
      <c r="C250" s="253" t="s">
        <v>99</v>
      </c>
      <c r="D250" s="389">
        <v>6480</v>
      </c>
      <c r="E250" s="388">
        <f t="shared" si="17"/>
        <v>6480</v>
      </c>
      <c r="F250" s="246"/>
      <c r="G250" s="388">
        <f t="shared" si="19"/>
        <v>0</v>
      </c>
      <c r="H250" s="372">
        <f t="shared" si="18"/>
        <v>0</v>
      </c>
      <c r="I250" s="247" t="s">
        <v>325</v>
      </c>
      <c r="J250" s="30">
        <v>3240000</v>
      </c>
      <c r="K250" s="300" t="s">
        <v>146</v>
      </c>
      <c r="L250" s="301" t="s">
        <v>121</v>
      </c>
      <c r="M250" s="302">
        <v>2</v>
      </c>
      <c r="N250" s="302" t="s">
        <v>124</v>
      </c>
      <c r="O250" s="303" t="s">
        <v>136</v>
      </c>
      <c r="P250" s="30">
        <f t="shared" si="9"/>
        <v>6480000</v>
      </c>
      <c r="Q250" s="254" t="s">
        <v>146</v>
      </c>
    </row>
    <row r="251" spans="1:17" ht="17.45" customHeight="1">
      <c r="A251" s="160"/>
      <c r="B251" s="326"/>
      <c r="C251" s="253" t="s">
        <v>37</v>
      </c>
      <c r="D251" s="389">
        <v>3400</v>
      </c>
      <c r="E251" s="388">
        <f t="shared" si="17"/>
        <v>3400</v>
      </c>
      <c r="F251" s="246"/>
      <c r="G251" s="388">
        <f t="shared" si="19"/>
        <v>0</v>
      </c>
      <c r="H251" s="372">
        <f t="shared" si="18"/>
        <v>0</v>
      </c>
      <c r="I251" s="247" t="s">
        <v>325</v>
      </c>
      <c r="J251" s="30">
        <v>850000</v>
      </c>
      <c r="K251" s="300" t="s">
        <v>146</v>
      </c>
      <c r="L251" s="301" t="s">
        <v>121</v>
      </c>
      <c r="M251" s="302">
        <v>4</v>
      </c>
      <c r="N251" s="302" t="s">
        <v>124</v>
      </c>
      <c r="O251" s="303" t="s">
        <v>136</v>
      </c>
      <c r="P251" s="30">
        <f t="shared" si="9"/>
        <v>3400000</v>
      </c>
      <c r="Q251" s="254" t="s">
        <v>146</v>
      </c>
    </row>
    <row r="252" spans="1:17" ht="17.45" customHeight="1">
      <c r="A252" s="160"/>
      <c r="B252" s="326"/>
      <c r="C252" s="262" t="s">
        <v>35</v>
      </c>
      <c r="D252" s="389">
        <v>12956.82999</v>
      </c>
      <c r="E252" s="388">
        <f t="shared" si="17"/>
        <v>12964.73</v>
      </c>
      <c r="F252" s="246"/>
      <c r="G252" s="388">
        <f t="shared" si="19"/>
        <v>7.9000099999993836</v>
      </c>
      <c r="H252" s="372">
        <f t="shared" si="18"/>
        <v>6.0971780953339376E-2</v>
      </c>
      <c r="I252" s="257" t="s">
        <v>414</v>
      </c>
      <c r="J252" s="45">
        <v>3241182.5</v>
      </c>
      <c r="K252" s="300" t="s">
        <v>146</v>
      </c>
      <c r="L252" s="301" t="s">
        <v>121</v>
      </c>
      <c r="M252" s="302">
        <v>4</v>
      </c>
      <c r="N252" s="302" t="s">
        <v>124</v>
      </c>
      <c r="O252" s="303" t="s">
        <v>136</v>
      </c>
      <c r="P252" s="30">
        <f t="shared" si="9"/>
        <v>12964730</v>
      </c>
      <c r="Q252" s="254" t="s">
        <v>146</v>
      </c>
    </row>
    <row r="253" spans="1:17" ht="17.45" customHeight="1">
      <c r="A253" s="160"/>
      <c r="B253" s="326"/>
      <c r="C253" s="262" t="s">
        <v>69</v>
      </c>
      <c r="D253" s="389">
        <v>1080</v>
      </c>
      <c r="E253" s="388">
        <f t="shared" si="17"/>
        <v>1080</v>
      </c>
      <c r="F253" s="246"/>
      <c r="G253" s="388">
        <f t="shared" si="19"/>
        <v>0</v>
      </c>
      <c r="H253" s="372">
        <f t="shared" si="18"/>
        <v>0</v>
      </c>
      <c r="I253" s="266" t="s">
        <v>325</v>
      </c>
      <c r="J253" s="68">
        <v>1080000</v>
      </c>
      <c r="K253" s="267" t="s">
        <v>146</v>
      </c>
      <c r="L253" s="268" t="s">
        <v>121</v>
      </c>
      <c r="M253" s="269">
        <v>1</v>
      </c>
      <c r="N253" s="269" t="s">
        <v>124</v>
      </c>
      <c r="O253" s="270" t="s">
        <v>136</v>
      </c>
      <c r="P253" s="50">
        <f t="shared" si="9"/>
        <v>1080000</v>
      </c>
      <c r="Q253" s="256" t="s">
        <v>146</v>
      </c>
    </row>
    <row r="254" spans="1:17" ht="17.45" customHeight="1">
      <c r="A254" s="212" t="s">
        <v>448</v>
      </c>
      <c r="B254" s="343" t="s">
        <v>448</v>
      </c>
      <c r="C254" s="371" t="s">
        <v>318</v>
      </c>
      <c r="D254" s="367">
        <v>2885.2</v>
      </c>
      <c r="E254" s="364">
        <f t="shared" si="17"/>
        <v>2885.2</v>
      </c>
      <c r="F254" s="255"/>
      <c r="G254" s="364">
        <f t="shared" si="19"/>
        <v>0</v>
      </c>
      <c r="H254" s="372">
        <f t="shared" ref="H254:H258" si="20">G254/D254*100</f>
        <v>0</v>
      </c>
      <c r="I254" s="247" t="s">
        <v>414</v>
      </c>
      <c r="J254" s="45">
        <v>1442600</v>
      </c>
      <c r="K254" s="300" t="s">
        <v>146</v>
      </c>
      <c r="L254" s="301" t="s">
        <v>121</v>
      </c>
      <c r="M254" s="302">
        <v>2</v>
      </c>
      <c r="N254" s="302" t="s">
        <v>124</v>
      </c>
      <c r="O254" s="303" t="s">
        <v>136</v>
      </c>
      <c r="P254" s="30">
        <f t="shared" si="9"/>
        <v>2885200</v>
      </c>
      <c r="Q254" s="254" t="s">
        <v>146</v>
      </c>
    </row>
    <row r="255" spans="1:17" ht="17.45" customHeight="1">
      <c r="A255" s="160"/>
      <c r="B255" s="326"/>
      <c r="C255" s="383" t="s">
        <v>204</v>
      </c>
      <c r="D255" s="389">
        <v>300</v>
      </c>
      <c r="E255" s="388">
        <f t="shared" si="17"/>
        <v>0</v>
      </c>
      <c r="F255" s="246"/>
      <c r="G255" s="388">
        <f t="shared" si="19"/>
        <v>-300</v>
      </c>
      <c r="H255" s="390">
        <f t="shared" si="20"/>
        <v>-100</v>
      </c>
      <c r="I255" s="247" t="s">
        <v>325</v>
      </c>
      <c r="J255" s="45">
        <v>0</v>
      </c>
      <c r="K255" s="300" t="s">
        <v>146</v>
      </c>
      <c r="L255" s="301" t="s">
        <v>121</v>
      </c>
      <c r="M255" s="302">
        <v>1</v>
      </c>
      <c r="N255" s="302" t="s">
        <v>124</v>
      </c>
      <c r="O255" s="303" t="s">
        <v>136</v>
      </c>
      <c r="P255" s="30">
        <f t="shared" si="9"/>
        <v>0</v>
      </c>
      <c r="Q255" s="254" t="s">
        <v>146</v>
      </c>
    </row>
    <row r="256" spans="1:17" ht="17.45" customHeight="1">
      <c r="A256" s="160"/>
      <c r="B256" s="326"/>
      <c r="C256" s="383" t="s">
        <v>331</v>
      </c>
      <c r="D256" s="389">
        <v>6000</v>
      </c>
      <c r="E256" s="388">
        <f t="shared" si="17"/>
        <v>6000</v>
      </c>
      <c r="F256" s="246"/>
      <c r="G256" s="388">
        <f t="shared" si="19"/>
        <v>0</v>
      </c>
      <c r="H256" s="390">
        <f t="shared" si="20"/>
        <v>0</v>
      </c>
      <c r="I256" s="247" t="s">
        <v>325</v>
      </c>
      <c r="J256" s="45">
        <v>6000000</v>
      </c>
      <c r="K256" s="300" t="s">
        <v>146</v>
      </c>
      <c r="L256" s="301" t="s">
        <v>121</v>
      </c>
      <c r="M256" s="302">
        <v>1</v>
      </c>
      <c r="N256" s="302" t="s">
        <v>124</v>
      </c>
      <c r="O256" s="303" t="s">
        <v>136</v>
      </c>
      <c r="P256" s="30">
        <f t="shared" si="9"/>
        <v>6000000</v>
      </c>
      <c r="Q256" s="254" t="s">
        <v>146</v>
      </c>
    </row>
    <row r="257" spans="1:17" ht="17.45" customHeight="1">
      <c r="A257" s="160"/>
      <c r="B257" s="326"/>
      <c r="C257" s="253" t="s">
        <v>13</v>
      </c>
      <c r="D257" s="389">
        <v>720</v>
      </c>
      <c r="E257" s="388">
        <f t="shared" si="17"/>
        <v>720</v>
      </c>
      <c r="F257" s="246"/>
      <c r="G257" s="388">
        <f t="shared" si="19"/>
        <v>0</v>
      </c>
      <c r="H257" s="390">
        <f t="shared" si="20"/>
        <v>0</v>
      </c>
      <c r="I257" s="247" t="s">
        <v>325</v>
      </c>
      <c r="J257" s="45">
        <v>720000</v>
      </c>
      <c r="K257" s="300" t="s">
        <v>146</v>
      </c>
      <c r="L257" s="301" t="s">
        <v>121</v>
      </c>
      <c r="M257" s="302">
        <v>1</v>
      </c>
      <c r="N257" s="302" t="s">
        <v>124</v>
      </c>
      <c r="O257" s="303" t="s">
        <v>136</v>
      </c>
      <c r="P257" s="30">
        <f t="shared" si="9"/>
        <v>720000</v>
      </c>
      <c r="Q257" s="254" t="s">
        <v>146</v>
      </c>
    </row>
    <row r="258" spans="1:17" ht="17.45" customHeight="1">
      <c r="A258" s="160"/>
      <c r="B258" s="326"/>
      <c r="C258" s="253" t="s">
        <v>275</v>
      </c>
      <c r="D258" s="389">
        <v>1130</v>
      </c>
      <c r="E258" s="388">
        <f t="shared" si="17"/>
        <v>1130</v>
      </c>
      <c r="F258" s="246"/>
      <c r="G258" s="388">
        <f t="shared" si="19"/>
        <v>0</v>
      </c>
      <c r="H258" s="390">
        <f t="shared" si="20"/>
        <v>0</v>
      </c>
      <c r="I258" s="247" t="s">
        <v>414</v>
      </c>
      <c r="J258" s="30">
        <v>565000</v>
      </c>
      <c r="K258" s="300" t="s">
        <v>146</v>
      </c>
      <c r="L258" s="301" t="s">
        <v>121</v>
      </c>
      <c r="M258" s="302">
        <v>2</v>
      </c>
      <c r="N258" s="302" t="s">
        <v>124</v>
      </c>
      <c r="O258" s="303" t="s">
        <v>136</v>
      </c>
      <c r="P258" s="30">
        <f t="shared" si="9"/>
        <v>1130000</v>
      </c>
      <c r="Q258" s="254" t="s">
        <v>146</v>
      </c>
    </row>
    <row r="259" spans="1:17" ht="17.45" customHeight="1">
      <c r="A259" s="160"/>
      <c r="B259" s="326"/>
      <c r="C259" s="253" t="s">
        <v>57</v>
      </c>
      <c r="D259" s="389">
        <v>4020</v>
      </c>
      <c r="E259" s="388">
        <f t="shared" si="17"/>
        <v>4020</v>
      </c>
      <c r="F259" s="246"/>
      <c r="G259" s="388">
        <f t="shared" si="19"/>
        <v>0</v>
      </c>
      <c r="H259" s="390">
        <f>+G259/D259*100</f>
        <v>0</v>
      </c>
      <c r="I259" s="247" t="s">
        <v>414</v>
      </c>
      <c r="J259" s="30">
        <v>2010000</v>
      </c>
      <c r="K259" s="300" t="s">
        <v>146</v>
      </c>
      <c r="L259" s="301" t="s">
        <v>121</v>
      </c>
      <c r="M259" s="302">
        <v>2</v>
      </c>
      <c r="N259" s="302" t="s">
        <v>124</v>
      </c>
      <c r="O259" s="303" t="s">
        <v>136</v>
      </c>
      <c r="P259" s="30">
        <f t="shared" si="9"/>
        <v>4020000</v>
      </c>
      <c r="Q259" s="254" t="s">
        <v>146</v>
      </c>
    </row>
    <row r="260" spans="1:17" ht="17.45" customHeight="1">
      <c r="A260" s="160"/>
      <c r="B260" s="326"/>
      <c r="C260" s="262" t="s">
        <v>54</v>
      </c>
      <c r="D260" s="389">
        <v>11031.48</v>
      </c>
      <c r="E260" s="388">
        <f t="shared" ref="E260:E265" si="21">P260/1000</f>
        <v>11031.48</v>
      </c>
      <c r="F260" s="246"/>
      <c r="G260" s="388">
        <f t="shared" ref="G260:G273" si="22">+E260-D260</f>
        <v>0</v>
      </c>
      <c r="H260" s="390">
        <f>+G260/D260*100</f>
        <v>0</v>
      </c>
      <c r="I260" s="257" t="s">
        <v>435</v>
      </c>
      <c r="J260" s="30">
        <v>5515740</v>
      </c>
      <c r="K260" s="300" t="s">
        <v>146</v>
      </c>
      <c r="L260" s="301" t="s">
        <v>121</v>
      </c>
      <c r="M260" s="302">
        <v>2</v>
      </c>
      <c r="N260" s="302" t="s">
        <v>124</v>
      </c>
      <c r="O260" s="303" t="s">
        <v>136</v>
      </c>
      <c r="P260" s="30">
        <f t="shared" si="9"/>
        <v>11031480</v>
      </c>
      <c r="Q260" s="254" t="s">
        <v>146</v>
      </c>
    </row>
    <row r="261" spans="1:17" ht="17.45" customHeight="1">
      <c r="A261" s="212"/>
      <c r="B261" s="343"/>
      <c r="C261" s="385" t="s">
        <v>15</v>
      </c>
      <c r="D261" s="367">
        <v>2704.5</v>
      </c>
      <c r="E261" s="364">
        <f t="shared" si="21"/>
        <v>2704.5</v>
      </c>
      <c r="F261" s="255"/>
      <c r="G261" s="364">
        <f t="shared" si="22"/>
        <v>0</v>
      </c>
      <c r="H261" s="372">
        <f>+G261/D261*100</f>
        <v>0</v>
      </c>
      <c r="I261" s="257" t="s">
        <v>414</v>
      </c>
      <c r="J261" s="30">
        <v>1352250</v>
      </c>
      <c r="K261" s="300" t="s">
        <v>146</v>
      </c>
      <c r="L261" s="301" t="s">
        <v>121</v>
      </c>
      <c r="M261" s="302">
        <v>2</v>
      </c>
      <c r="N261" s="302" t="s">
        <v>124</v>
      </c>
      <c r="O261" s="303" t="s">
        <v>136</v>
      </c>
      <c r="P261" s="30">
        <f t="shared" si="9"/>
        <v>2704500</v>
      </c>
      <c r="Q261" s="254" t="s">
        <v>146</v>
      </c>
    </row>
    <row r="262" spans="1:17" ht="17.45" customHeight="1">
      <c r="A262" s="212"/>
      <c r="B262" s="343"/>
      <c r="C262" s="385" t="s">
        <v>17</v>
      </c>
      <c r="D262" s="367">
        <v>9520</v>
      </c>
      <c r="E262" s="364">
        <f t="shared" si="21"/>
        <v>9520</v>
      </c>
      <c r="F262" s="255"/>
      <c r="G262" s="364">
        <f t="shared" si="22"/>
        <v>0</v>
      </c>
      <c r="H262" s="372">
        <f>+G262/D262*100</f>
        <v>0</v>
      </c>
      <c r="I262" s="247" t="s">
        <v>414</v>
      </c>
      <c r="J262" s="30">
        <v>4760000</v>
      </c>
      <c r="K262" s="300" t="s">
        <v>146</v>
      </c>
      <c r="L262" s="301" t="s">
        <v>121</v>
      </c>
      <c r="M262" s="302">
        <v>2</v>
      </c>
      <c r="N262" s="302" t="s">
        <v>124</v>
      </c>
      <c r="O262" s="303" t="s">
        <v>136</v>
      </c>
      <c r="P262" s="30">
        <f t="shared" si="9"/>
        <v>9520000</v>
      </c>
      <c r="Q262" s="254" t="s">
        <v>146</v>
      </c>
    </row>
    <row r="263" spans="1:17" ht="17.45" customHeight="1">
      <c r="A263" s="212"/>
      <c r="B263" s="343"/>
      <c r="C263" s="263" t="s">
        <v>42</v>
      </c>
      <c r="D263" s="366">
        <v>6780</v>
      </c>
      <c r="E263" s="364">
        <f t="shared" si="21"/>
        <v>6780</v>
      </c>
      <c r="F263" s="259"/>
      <c r="G263" s="364">
        <f t="shared" si="22"/>
        <v>0</v>
      </c>
      <c r="H263" s="372">
        <f>G263/D263*100</f>
        <v>0</v>
      </c>
      <c r="I263" s="247" t="s">
        <v>414</v>
      </c>
      <c r="J263" s="30">
        <v>3390000</v>
      </c>
      <c r="K263" s="300" t="s">
        <v>146</v>
      </c>
      <c r="L263" s="301" t="s">
        <v>121</v>
      </c>
      <c r="M263" s="302">
        <v>2</v>
      </c>
      <c r="N263" s="302" t="s">
        <v>124</v>
      </c>
      <c r="O263" s="303" t="s">
        <v>136</v>
      </c>
      <c r="P263" s="30">
        <f t="shared" ref="P263:P293" si="23">J263*M263</f>
        <v>6780000</v>
      </c>
      <c r="Q263" s="254" t="s">
        <v>146</v>
      </c>
    </row>
    <row r="264" spans="1:17" ht="17.45" customHeight="1">
      <c r="A264" s="212"/>
      <c r="B264" s="343"/>
      <c r="C264" s="262" t="s">
        <v>308</v>
      </c>
      <c r="D264" s="389">
        <v>1440</v>
      </c>
      <c r="E264" s="388">
        <f t="shared" si="21"/>
        <v>1499.49</v>
      </c>
      <c r="F264" s="246"/>
      <c r="G264" s="388">
        <f t="shared" si="22"/>
        <v>59.490000000000009</v>
      </c>
      <c r="H264" s="390">
        <f>G264/D264*100</f>
        <v>4.1312500000000005</v>
      </c>
      <c r="I264" s="247" t="s">
        <v>325</v>
      </c>
      <c r="J264" s="30">
        <v>749745</v>
      </c>
      <c r="K264" s="300" t="s">
        <v>146</v>
      </c>
      <c r="L264" s="301" t="s">
        <v>121</v>
      </c>
      <c r="M264" s="302">
        <v>2</v>
      </c>
      <c r="N264" s="302" t="s">
        <v>124</v>
      </c>
      <c r="O264" s="303" t="s">
        <v>136</v>
      </c>
      <c r="P264" s="30">
        <f t="shared" si="23"/>
        <v>1499490</v>
      </c>
      <c r="Q264" s="254" t="s">
        <v>146</v>
      </c>
    </row>
    <row r="265" spans="1:17" ht="17.45" customHeight="1">
      <c r="A265" s="212"/>
      <c r="B265" s="343"/>
      <c r="C265" s="386" t="s">
        <v>46</v>
      </c>
      <c r="D265" s="366">
        <v>1800</v>
      </c>
      <c r="E265" s="364">
        <f t="shared" si="21"/>
        <v>18035</v>
      </c>
      <c r="F265" s="259"/>
      <c r="G265" s="364">
        <f t="shared" si="22"/>
        <v>16235</v>
      </c>
      <c r="H265" s="372">
        <f t="shared" ref="H265:H270" si="24">+G265/D265*100</f>
        <v>901.94444444444434</v>
      </c>
      <c r="I265" s="257" t="s">
        <v>325</v>
      </c>
      <c r="J265" s="30">
        <v>9017500</v>
      </c>
      <c r="K265" s="300" t="s">
        <v>146</v>
      </c>
      <c r="L265" s="301" t="s">
        <v>121</v>
      </c>
      <c r="M265" s="302">
        <v>2</v>
      </c>
      <c r="N265" s="302" t="s">
        <v>124</v>
      </c>
      <c r="O265" s="303" t="s">
        <v>136</v>
      </c>
      <c r="P265" s="30">
        <f t="shared" si="23"/>
        <v>18035000</v>
      </c>
      <c r="Q265" s="254" t="s">
        <v>146</v>
      </c>
    </row>
    <row r="266" spans="1:17" ht="17.45" customHeight="1">
      <c r="A266" s="212"/>
      <c r="B266" s="343"/>
      <c r="C266" s="369" t="s">
        <v>289</v>
      </c>
      <c r="D266" s="363">
        <v>1440</v>
      </c>
      <c r="E266" s="388">
        <f t="shared" ref="E266:E275" si="25">P266/1000</f>
        <v>1440</v>
      </c>
      <c r="F266" s="258"/>
      <c r="G266" s="388">
        <f t="shared" si="22"/>
        <v>0</v>
      </c>
      <c r="H266" s="390">
        <f t="shared" si="24"/>
        <v>0</v>
      </c>
      <c r="I266" s="247" t="s">
        <v>325</v>
      </c>
      <c r="J266" s="30">
        <v>1440000</v>
      </c>
      <c r="K266" s="300" t="s">
        <v>146</v>
      </c>
      <c r="L266" s="301" t="s">
        <v>121</v>
      </c>
      <c r="M266" s="302">
        <v>1</v>
      </c>
      <c r="N266" s="302" t="s">
        <v>124</v>
      </c>
      <c r="O266" s="303" t="s">
        <v>136</v>
      </c>
      <c r="P266" s="30">
        <f t="shared" si="23"/>
        <v>1440000</v>
      </c>
      <c r="Q266" s="254" t="s">
        <v>146</v>
      </c>
    </row>
    <row r="267" spans="1:17" ht="17.45" customHeight="1">
      <c r="A267" s="212"/>
      <c r="B267" s="343"/>
      <c r="C267" s="369" t="s">
        <v>300</v>
      </c>
      <c r="D267" s="264">
        <v>3000</v>
      </c>
      <c r="E267" s="388">
        <f t="shared" si="25"/>
        <v>3000</v>
      </c>
      <c r="F267" s="258"/>
      <c r="G267" s="388">
        <f t="shared" si="22"/>
        <v>0</v>
      </c>
      <c r="H267" s="390">
        <f t="shared" si="24"/>
        <v>0</v>
      </c>
      <c r="I267" s="247" t="s">
        <v>325</v>
      </c>
      <c r="J267" s="30">
        <v>750000</v>
      </c>
      <c r="K267" s="300" t="s">
        <v>146</v>
      </c>
      <c r="L267" s="301" t="s">
        <v>121</v>
      </c>
      <c r="M267" s="302">
        <v>4</v>
      </c>
      <c r="N267" s="302" t="s">
        <v>124</v>
      </c>
      <c r="O267" s="303" t="s">
        <v>136</v>
      </c>
      <c r="P267" s="30">
        <f>J267*M267</f>
        <v>3000000</v>
      </c>
      <c r="Q267" s="254" t="s">
        <v>146</v>
      </c>
    </row>
    <row r="268" spans="1:17" ht="17.45" customHeight="1">
      <c r="A268" s="212"/>
      <c r="B268" s="343"/>
      <c r="C268" s="253" t="s">
        <v>103</v>
      </c>
      <c r="D268" s="389">
        <v>690</v>
      </c>
      <c r="E268" s="388">
        <f t="shared" si="25"/>
        <v>421.65199999999999</v>
      </c>
      <c r="F268" s="246"/>
      <c r="G268" s="388">
        <f t="shared" si="22"/>
        <v>-268.34800000000001</v>
      </c>
      <c r="H268" s="390">
        <f t="shared" si="24"/>
        <v>-38.891014492753619</v>
      </c>
      <c r="I268" s="257" t="s">
        <v>325</v>
      </c>
      <c r="J268" s="30">
        <v>421652</v>
      </c>
      <c r="K268" s="300" t="s">
        <v>146</v>
      </c>
      <c r="L268" s="301" t="s">
        <v>121</v>
      </c>
      <c r="M268" s="302">
        <v>1</v>
      </c>
      <c r="N268" s="302" t="s">
        <v>124</v>
      </c>
      <c r="O268" s="303" t="s">
        <v>136</v>
      </c>
      <c r="P268" s="30">
        <f t="shared" si="23"/>
        <v>421652</v>
      </c>
      <c r="Q268" s="254" t="s">
        <v>146</v>
      </c>
    </row>
    <row r="269" spans="1:17" ht="17.45" customHeight="1">
      <c r="A269" s="212"/>
      <c r="B269" s="343"/>
      <c r="C269" s="371" t="s">
        <v>309</v>
      </c>
      <c r="D269" s="367">
        <v>10000</v>
      </c>
      <c r="E269" s="364">
        <f t="shared" si="25"/>
        <v>10000</v>
      </c>
      <c r="F269" s="255"/>
      <c r="G269" s="364">
        <f t="shared" si="22"/>
        <v>0</v>
      </c>
      <c r="H269" s="372">
        <f t="shared" si="24"/>
        <v>0</v>
      </c>
      <c r="I269" s="257" t="s">
        <v>325</v>
      </c>
      <c r="J269" s="30">
        <v>2500000</v>
      </c>
      <c r="K269" s="300" t="s">
        <v>146</v>
      </c>
      <c r="L269" s="301" t="s">
        <v>121</v>
      </c>
      <c r="M269" s="302">
        <v>4</v>
      </c>
      <c r="N269" s="302" t="s">
        <v>124</v>
      </c>
      <c r="O269" s="303" t="s">
        <v>136</v>
      </c>
      <c r="P269" s="30">
        <f t="shared" si="23"/>
        <v>10000000</v>
      </c>
      <c r="Q269" s="254" t="s">
        <v>146</v>
      </c>
    </row>
    <row r="270" spans="1:17" ht="17.45" customHeight="1">
      <c r="A270" s="160"/>
      <c r="B270" s="326"/>
      <c r="C270" s="385" t="s">
        <v>1</v>
      </c>
      <c r="D270" s="367">
        <v>6880.15</v>
      </c>
      <c r="E270" s="364">
        <f t="shared" si="25"/>
        <v>6880.15</v>
      </c>
      <c r="F270" s="255"/>
      <c r="G270" s="364">
        <f t="shared" si="22"/>
        <v>0</v>
      </c>
      <c r="H270" s="372">
        <f t="shared" si="24"/>
        <v>0</v>
      </c>
      <c r="I270" s="257" t="s">
        <v>435</v>
      </c>
      <c r="J270" s="30">
        <v>3440075</v>
      </c>
      <c r="K270" s="300" t="s">
        <v>146</v>
      </c>
      <c r="L270" s="301" t="s">
        <v>121</v>
      </c>
      <c r="M270" s="302">
        <v>2</v>
      </c>
      <c r="N270" s="302" t="s">
        <v>124</v>
      </c>
      <c r="O270" s="303" t="s">
        <v>136</v>
      </c>
      <c r="P270" s="30">
        <f t="shared" si="23"/>
        <v>6880150</v>
      </c>
      <c r="Q270" s="254" t="s">
        <v>146</v>
      </c>
    </row>
    <row r="271" spans="1:17" ht="17.45" customHeight="1">
      <c r="A271" s="212"/>
      <c r="B271" s="343"/>
      <c r="C271" s="370" t="s">
        <v>312</v>
      </c>
      <c r="D271" s="366">
        <v>10601.44</v>
      </c>
      <c r="E271" s="364">
        <f t="shared" si="25"/>
        <v>10611.00999</v>
      </c>
      <c r="F271" s="259"/>
      <c r="G271" s="364">
        <f t="shared" si="22"/>
        <v>9.5699899999999616</v>
      </c>
      <c r="H271" s="372">
        <f>G271/D271*100</f>
        <v>9.0270661344118916E-2</v>
      </c>
      <c r="I271" s="257" t="s">
        <v>435</v>
      </c>
      <c r="J271" s="30">
        <v>3537003.33</v>
      </c>
      <c r="K271" s="300" t="s">
        <v>146</v>
      </c>
      <c r="L271" s="301" t="s">
        <v>121</v>
      </c>
      <c r="M271" s="302">
        <v>3</v>
      </c>
      <c r="N271" s="302" t="s">
        <v>124</v>
      </c>
      <c r="O271" s="303" t="s">
        <v>136</v>
      </c>
      <c r="P271" s="30">
        <f t="shared" si="23"/>
        <v>10611009.99</v>
      </c>
      <c r="Q271" s="254" t="s">
        <v>146</v>
      </c>
    </row>
    <row r="272" spans="1:17" ht="17.45" customHeight="1">
      <c r="A272" s="160"/>
      <c r="B272" s="326"/>
      <c r="C272" s="369" t="s">
        <v>238</v>
      </c>
      <c r="D272" s="363">
        <v>360</v>
      </c>
      <c r="E272" s="388">
        <f t="shared" si="25"/>
        <v>360</v>
      </c>
      <c r="F272" s="258"/>
      <c r="G272" s="388">
        <f t="shared" si="22"/>
        <v>0</v>
      </c>
      <c r="H272" s="390">
        <f>G272/D272*100</f>
        <v>0</v>
      </c>
      <c r="I272" s="247" t="s">
        <v>325</v>
      </c>
      <c r="J272" s="30">
        <v>360000</v>
      </c>
      <c r="K272" s="300" t="s">
        <v>146</v>
      </c>
      <c r="L272" s="301" t="s">
        <v>121</v>
      </c>
      <c r="M272" s="302">
        <v>1</v>
      </c>
      <c r="N272" s="302" t="s">
        <v>124</v>
      </c>
      <c r="O272" s="303" t="s">
        <v>136</v>
      </c>
      <c r="P272" s="30">
        <f t="shared" si="23"/>
        <v>360000</v>
      </c>
      <c r="Q272" s="254" t="s">
        <v>146</v>
      </c>
    </row>
    <row r="273" spans="1:17" ht="17.45" customHeight="1">
      <c r="A273" s="160"/>
      <c r="B273" s="326"/>
      <c r="C273" s="369" t="s">
        <v>262</v>
      </c>
      <c r="D273" s="363">
        <v>720</v>
      </c>
      <c r="E273" s="388">
        <f t="shared" si="25"/>
        <v>387.15100000000001</v>
      </c>
      <c r="F273" s="258"/>
      <c r="G273" s="388">
        <f t="shared" si="22"/>
        <v>-332.84899999999999</v>
      </c>
      <c r="H273" s="390">
        <f>G273/D273*100</f>
        <v>-46.229027777777773</v>
      </c>
      <c r="I273" s="247" t="s">
        <v>325</v>
      </c>
      <c r="J273" s="30">
        <v>387151</v>
      </c>
      <c r="K273" s="300" t="s">
        <v>146</v>
      </c>
      <c r="L273" s="301" t="s">
        <v>121</v>
      </c>
      <c r="M273" s="302">
        <v>1</v>
      </c>
      <c r="N273" s="302" t="s">
        <v>124</v>
      </c>
      <c r="O273" s="303" t="s">
        <v>136</v>
      </c>
      <c r="P273" s="30">
        <f t="shared" si="23"/>
        <v>387151</v>
      </c>
      <c r="Q273" s="254" t="s">
        <v>146</v>
      </c>
    </row>
    <row r="274" spans="1:17" ht="17.45" customHeight="1">
      <c r="A274" s="160"/>
      <c r="B274" s="326"/>
      <c r="C274" s="369" t="s">
        <v>322</v>
      </c>
      <c r="D274" s="363">
        <v>3600</v>
      </c>
      <c r="E274" s="388">
        <f t="shared" si="25"/>
        <v>3600</v>
      </c>
      <c r="F274" s="258"/>
      <c r="G274" s="388">
        <f t="shared" ref="G274:G286" si="26">+E274-D274</f>
        <v>0</v>
      </c>
      <c r="H274" s="390">
        <f>G274/D274*100</f>
        <v>0</v>
      </c>
      <c r="I274" s="247" t="s">
        <v>325</v>
      </c>
      <c r="J274" s="30">
        <v>3600000</v>
      </c>
      <c r="K274" s="300" t="s">
        <v>146</v>
      </c>
      <c r="L274" s="301" t="s">
        <v>121</v>
      </c>
      <c r="M274" s="302">
        <v>1</v>
      </c>
      <c r="N274" s="302" t="s">
        <v>124</v>
      </c>
      <c r="O274" s="303" t="s">
        <v>136</v>
      </c>
      <c r="P274" s="30">
        <f t="shared" si="23"/>
        <v>3600000</v>
      </c>
      <c r="Q274" s="254" t="s">
        <v>146</v>
      </c>
    </row>
    <row r="275" spans="1:17" ht="17.45" customHeight="1">
      <c r="A275" s="160"/>
      <c r="B275" s="326"/>
      <c r="C275" s="369" t="s">
        <v>304</v>
      </c>
      <c r="D275" s="363">
        <v>360</v>
      </c>
      <c r="E275" s="388">
        <f t="shared" si="25"/>
        <v>360</v>
      </c>
      <c r="F275" s="258"/>
      <c r="G275" s="388">
        <f t="shared" si="26"/>
        <v>0</v>
      </c>
      <c r="H275" s="390">
        <f>G275/D275*100</f>
        <v>0</v>
      </c>
      <c r="I275" s="247" t="s">
        <v>325</v>
      </c>
      <c r="J275" s="30">
        <v>360000</v>
      </c>
      <c r="K275" s="300" t="s">
        <v>146</v>
      </c>
      <c r="L275" s="301" t="s">
        <v>121</v>
      </c>
      <c r="M275" s="302">
        <v>1</v>
      </c>
      <c r="N275" s="302" t="s">
        <v>124</v>
      </c>
      <c r="O275" s="303" t="s">
        <v>136</v>
      </c>
      <c r="P275" s="30">
        <f t="shared" si="23"/>
        <v>360000</v>
      </c>
      <c r="Q275" s="254" t="s">
        <v>146</v>
      </c>
    </row>
    <row r="276" spans="1:17" ht="17.45" customHeight="1">
      <c r="A276" s="160"/>
      <c r="B276" s="326"/>
      <c r="C276" s="384" t="s">
        <v>38</v>
      </c>
      <c r="D276" s="363">
        <v>17500</v>
      </c>
      <c r="E276" s="388">
        <f t="shared" ref="E276:E286" si="27">P276/1000</f>
        <v>17500</v>
      </c>
      <c r="F276" s="258"/>
      <c r="G276" s="388">
        <f t="shared" si="26"/>
        <v>0</v>
      </c>
      <c r="H276" s="390">
        <f t="shared" ref="H276:H282" si="28">+G276/D276*100</f>
        <v>0</v>
      </c>
      <c r="I276" s="247" t="s">
        <v>325</v>
      </c>
      <c r="J276" s="30">
        <v>2500000</v>
      </c>
      <c r="K276" s="300" t="s">
        <v>146</v>
      </c>
      <c r="L276" s="301" t="s">
        <v>121</v>
      </c>
      <c r="M276" s="302">
        <v>7</v>
      </c>
      <c r="N276" s="302" t="s">
        <v>436</v>
      </c>
      <c r="O276" s="303" t="s">
        <v>136</v>
      </c>
      <c r="P276" s="30">
        <f t="shared" si="23"/>
        <v>17500000</v>
      </c>
      <c r="Q276" s="254" t="s">
        <v>146</v>
      </c>
    </row>
    <row r="277" spans="1:17" ht="17.45" customHeight="1">
      <c r="A277" s="160"/>
      <c r="B277" s="326"/>
      <c r="C277" s="384" t="s">
        <v>79</v>
      </c>
      <c r="D277" s="363">
        <v>360</v>
      </c>
      <c r="E277" s="388">
        <f t="shared" si="27"/>
        <v>360</v>
      </c>
      <c r="F277" s="258"/>
      <c r="G277" s="388">
        <f t="shared" si="26"/>
        <v>0</v>
      </c>
      <c r="H277" s="390">
        <f t="shared" si="28"/>
        <v>0</v>
      </c>
      <c r="I277" s="247" t="s">
        <v>325</v>
      </c>
      <c r="J277" s="30">
        <v>360000</v>
      </c>
      <c r="K277" s="300" t="s">
        <v>146</v>
      </c>
      <c r="L277" s="301" t="s">
        <v>121</v>
      </c>
      <c r="M277" s="302">
        <v>1</v>
      </c>
      <c r="N277" s="302" t="s">
        <v>124</v>
      </c>
      <c r="O277" s="303" t="s">
        <v>136</v>
      </c>
      <c r="P277" s="30">
        <f t="shared" si="23"/>
        <v>360000</v>
      </c>
      <c r="Q277" s="254" t="s">
        <v>146</v>
      </c>
    </row>
    <row r="278" spans="1:17" ht="17.45" customHeight="1">
      <c r="A278" s="160"/>
      <c r="B278" s="326"/>
      <c r="C278" s="384" t="s">
        <v>43</v>
      </c>
      <c r="D278" s="363">
        <v>5000</v>
      </c>
      <c r="E278" s="388">
        <f t="shared" si="27"/>
        <v>5000</v>
      </c>
      <c r="F278" s="258"/>
      <c r="G278" s="388">
        <f t="shared" si="26"/>
        <v>0</v>
      </c>
      <c r="H278" s="390">
        <f t="shared" si="28"/>
        <v>0</v>
      </c>
      <c r="I278" s="247" t="s">
        <v>325</v>
      </c>
      <c r="J278" s="30">
        <v>1250000</v>
      </c>
      <c r="K278" s="300" t="s">
        <v>146</v>
      </c>
      <c r="L278" s="301" t="s">
        <v>121</v>
      </c>
      <c r="M278" s="302">
        <v>4</v>
      </c>
      <c r="N278" s="302" t="s">
        <v>124</v>
      </c>
      <c r="O278" s="303" t="s">
        <v>136</v>
      </c>
      <c r="P278" s="30">
        <f t="shared" si="23"/>
        <v>5000000</v>
      </c>
      <c r="Q278" s="254" t="s">
        <v>146</v>
      </c>
    </row>
    <row r="279" spans="1:17" ht="17.45" customHeight="1">
      <c r="A279" s="160"/>
      <c r="B279" s="326"/>
      <c r="C279" s="384" t="s">
        <v>80</v>
      </c>
      <c r="D279" s="363">
        <v>21189.49</v>
      </c>
      <c r="E279" s="388">
        <f t="shared" si="27"/>
        <v>21189.49</v>
      </c>
      <c r="F279" s="258"/>
      <c r="G279" s="388">
        <f t="shared" si="26"/>
        <v>0</v>
      </c>
      <c r="H279" s="390">
        <v>0</v>
      </c>
      <c r="I279" s="257" t="s">
        <v>435</v>
      </c>
      <c r="J279" s="30">
        <v>10594745</v>
      </c>
      <c r="K279" s="300" t="s">
        <v>146</v>
      </c>
      <c r="L279" s="301" t="s">
        <v>121</v>
      </c>
      <c r="M279" s="302">
        <v>2</v>
      </c>
      <c r="N279" s="302" t="s">
        <v>124</v>
      </c>
      <c r="O279" s="303" t="s">
        <v>136</v>
      </c>
      <c r="P279" s="30">
        <f t="shared" si="23"/>
        <v>21189490</v>
      </c>
      <c r="Q279" s="254" t="s">
        <v>146</v>
      </c>
    </row>
    <row r="280" spans="1:17" ht="17.45" customHeight="1">
      <c r="A280" s="212"/>
      <c r="B280" s="343"/>
      <c r="C280" s="384" t="s">
        <v>81</v>
      </c>
      <c r="D280" s="363">
        <v>65000</v>
      </c>
      <c r="E280" s="388">
        <f t="shared" si="27"/>
        <v>65000</v>
      </c>
      <c r="F280" s="258"/>
      <c r="G280" s="388">
        <f t="shared" si="26"/>
        <v>0</v>
      </c>
      <c r="H280" s="390">
        <f t="shared" si="28"/>
        <v>0</v>
      </c>
      <c r="I280" s="257" t="s">
        <v>325</v>
      </c>
      <c r="J280" s="30">
        <v>16250000</v>
      </c>
      <c r="K280" s="300" t="s">
        <v>146</v>
      </c>
      <c r="L280" s="301" t="s">
        <v>121</v>
      </c>
      <c r="M280" s="302">
        <v>4</v>
      </c>
      <c r="N280" s="302" t="s">
        <v>124</v>
      </c>
      <c r="O280" s="303" t="s">
        <v>136</v>
      </c>
      <c r="P280" s="30">
        <f t="shared" si="23"/>
        <v>65000000</v>
      </c>
      <c r="Q280" s="254" t="s">
        <v>146</v>
      </c>
    </row>
    <row r="281" spans="1:17" ht="17.45" customHeight="1">
      <c r="A281" s="160"/>
      <c r="B281" s="326"/>
      <c r="C281" s="383" t="s">
        <v>246</v>
      </c>
      <c r="D281" s="389">
        <v>15829.999980000001</v>
      </c>
      <c r="E281" s="388">
        <f t="shared" si="27"/>
        <v>16069.999980000001</v>
      </c>
      <c r="F281" s="246"/>
      <c r="G281" s="388">
        <f t="shared" si="26"/>
        <v>240</v>
      </c>
      <c r="H281" s="390">
        <f t="shared" si="28"/>
        <v>1.5161086563690571</v>
      </c>
      <c r="I281" s="309" t="s">
        <v>414</v>
      </c>
      <c r="J281" s="50">
        <v>5356666.66</v>
      </c>
      <c r="K281" s="267" t="s">
        <v>146</v>
      </c>
      <c r="L281" s="268" t="s">
        <v>121</v>
      </c>
      <c r="M281" s="269">
        <v>3</v>
      </c>
      <c r="N281" s="269" t="s">
        <v>124</v>
      </c>
      <c r="O281" s="270" t="s">
        <v>136</v>
      </c>
      <c r="P281" s="50">
        <f t="shared" si="23"/>
        <v>16069999.98</v>
      </c>
      <c r="Q281" s="256" t="s">
        <v>146</v>
      </c>
    </row>
    <row r="282" spans="1:17" ht="17.45" customHeight="1">
      <c r="A282" s="212" t="s">
        <v>448</v>
      </c>
      <c r="B282" s="343" t="s">
        <v>448</v>
      </c>
      <c r="C282" s="386" t="s">
        <v>77</v>
      </c>
      <c r="D282" s="366">
        <v>720</v>
      </c>
      <c r="E282" s="364">
        <f t="shared" si="27"/>
        <v>720</v>
      </c>
      <c r="F282" s="259"/>
      <c r="G282" s="364">
        <f t="shared" si="26"/>
        <v>0</v>
      </c>
      <c r="H282" s="372">
        <f t="shared" si="28"/>
        <v>0</v>
      </c>
      <c r="I282" s="247" t="s">
        <v>325</v>
      </c>
      <c r="J282" s="30">
        <v>720000</v>
      </c>
      <c r="K282" s="300" t="s">
        <v>146</v>
      </c>
      <c r="L282" s="301" t="s">
        <v>121</v>
      </c>
      <c r="M282" s="302">
        <v>1</v>
      </c>
      <c r="N282" s="302" t="s">
        <v>124</v>
      </c>
      <c r="O282" s="303" t="s">
        <v>136</v>
      </c>
      <c r="P282" s="30">
        <f t="shared" si="23"/>
        <v>720000</v>
      </c>
      <c r="Q282" s="254" t="s">
        <v>146</v>
      </c>
    </row>
    <row r="283" spans="1:17" ht="17.45" customHeight="1">
      <c r="A283" s="160"/>
      <c r="B283" s="326"/>
      <c r="C283" s="384" t="s">
        <v>71</v>
      </c>
      <c r="D283" s="363">
        <v>720</v>
      </c>
      <c r="E283" s="388">
        <f t="shared" si="27"/>
        <v>720</v>
      </c>
      <c r="F283" s="258"/>
      <c r="G283" s="388">
        <f t="shared" si="26"/>
        <v>0</v>
      </c>
      <c r="H283" s="390">
        <f>G283/D283*100</f>
        <v>0</v>
      </c>
      <c r="I283" s="247" t="s">
        <v>325</v>
      </c>
      <c r="J283" s="30">
        <v>720000</v>
      </c>
      <c r="K283" s="300" t="s">
        <v>146</v>
      </c>
      <c r="L283" s="301" t="s">
        <v>121</v>
      </c>
      <c r="M283" s="302">
        <v>1</v>
      </c>
      <c r="N283" s="302" t="s">
        <v>124</v>
      </c>
      <c r="O283" s="303" t="s">
        <v>136</v>
      </c>
      <c r="P283" s="30">
        <f t="shared" si="23"/>
        <v>720000</v>
      </c>
      <c r="Q283" s="254" t="s">
        <v>146</v>
      </c>
    </row>
    <row r="284" spans="1:17" ht="17.45" customHeight="1">
      <c r="A284" s="160"/>
      <c r="B284" s="326"/>
      <c r="C284" s="253" t="s">
        <v>32</v>
      </c>
      <c r="D284" s="363">
        <v>8960</v>
      </c>
      <c r="E284" s="388">
        <f t="shared" si="27"/>
        <v>8960</v>
      </c>
      <c r="F284" s="258"/>
      <c r="G284" s="388">
        <f t="shared" si="26"/>
        <v>0</v>
      </c>
      <c r="H284" s="390">
        <f>G284/D284*100</f>
        <v>0</v>
      </c>
      <c r="I284" s="247" t="s">
        <v>414</v>
      </c>
      <c r="J284" s="30">
        <v>4480000</v>
      </c>
      <c r="K284" s="300" t="s">
        <v>146</v>
      </c>
      <c r="L284" s="301" t="s">
        <v>121</v>
      </c>
      <c r="M284" s="302">
        <v>2</v>
      </c>
      <c r="N284" s="302" t="s">
        <v>124</v>
      </c>
      <c r="O284" s="303" t="s">
        <v>136</v>
      </c>
      <c r="P284" s="30">
        <f t="shared" si="23"/>
        <v>8960000</v>
      </c>
      <c r="Q284" s="254" t="s">
        <v>146</v>
      </c>
    </row>
    <row r="285" spans="1:17" ht="17.45" customHeight="1">
      <c r="A285" s="160"/>
      <c r="B285" s="326"/>
      <c r="C285" s="253" t="s">
        <v>11</v>
      </c>
      <c r="D285" s="363">
        <v>1440</v>
      </c>
      <c r="E285" s="388">
        <f t="shared" si="27"/>
        <v>1440</v>
      </c>
      <c r="F285" s="258"/>
      <c r="G285" s="388">
        <f t="shared" si="26"/>
        <v>0</v>
      </c>
      <c r="H285" s="390">
        <f>G285/D285*100</f>
        <v>0</v>
      </c>
      <c r="I285" s="247" t="s">
        <v>325</v>
      </c>
      <c r="J285" s="30">
        <v>1440000</v>
      </c>
      <c r="K285" s="300" t="s">
        <v>146</v>
      </c>
      <c r="L285" s="301" t="s">
        <v>121</v>
      </c>
      <c r="M285" s="302">
        <v>1</v>
      </c>
      <c r="N285" s="302" t="s">
        <v>124</v>
      </c>
      <c r="O285" s="303" t="s">
        <v>136</v>
      </c>
      <c r="P285" s="30">
        <f t="shared" si="23"/>
        <v>1440000</v>
      </c>
      <c r="Q285" s="254" t="s">
        <v>146</v>
      </c>
    </row>
    <row r="286" spans="1:17" ht="17.45" customHeight="1">
      <c r="A286" s="160"/>
      <c r="B286" s="326"/>
      <c r="C286" s="384" t="s">
        <v>93</v>
      </c>
      <c r="D286" s="363">
        <v>3470.3</v>
      </c>
      <c r="E286" s="388">
        <f t="shared" si="27"/>
        <v>3470.3</v>
      </c>
      <c r="F286" s="258"/>
      <c r="G286" s="388">
        <f t="shared" si="26"/>
        <v>0</v>
      </c>
      <c r="H286" s="390">
        <f>G286/D286*100</f>
        <v>0</v>
      </c>
      <c r="I286" s="247" t="s">
        <v>414</v>
      </c>
      <c r="J286" s="30">
        <v>1735150</v>
      </c>
      <c r="K286" s="300" t="s">
        <v>146</v>
      </c>
      <c r="L286" s="301" t="s">
        <v>121</v>
      </c>
      <c r="M286" s="302">
        <v>2</v>
      </c>
      <c r="N286" s="302" t="s">
        <v>124</v>
      </c>
      <c r="O286" s="303" t="s">
        <v>136</v>
      </c>
      <c r="P286" s="30">
        <f t="shared" si="23"/>
        <v>3470300</v>
      </c>
      <c r="Q286" s="254" t="s">
        <v>146</v>
      </c>
    </row>
    <row r="287" spans="1:17" ht="17.45" customHeight="1">
      <c r="A287" s="160"/>
      <c r="B287" s="326"/>
      <c r="C287" s="369" t="s">
        <v>193</v>
      </c>
      <c r="D287" s="363">
        <v>2880</v>
      </c>
      <c r="E287" s="388">
        <f>P287/1000</f>
        <v>2880</v>
      </c>
      <c r="F287" s="258"/>
      <c r="G287" s="388">
        <f t="shared" ref="G287:G298" si="29">+E287-D287</f>
        <v>0</v>
      </c>
      <c r="H287" s="390">
        <f t="shared" ref="H287:H293" si="30">+G287/D287*100</f>
        <v>0</v>
      </c>
      <c r="I287" s="247" t="s">
        <v>325</v>
      </c>
      <c r="J287" s="30">
        <v>2880000</v>
      </c>
      <c r="K287" s="300" t="s">
        <v>146</v>
      </c>
      <c r="L287" s="301" t="s">
        <v>121</v>
      </c>
      <c r="M287" s="302">
        <v>1</v>
      </c>
      <c r="N287" s="302" t="s">
        <v>124</v>
      </c>
      <c r="O287" s="303" t="s">
        <v>136</v>
      </c>
      <c r="P287" s="30">
        <f t="shared" si="23"/>
        <v>2880000</v>
      </c>
      <c r="Q287" s="254" t="s">
        <v>146</v>
      </c>
    </row>
    <row r="288" spans="1:17" ht="17.45" customHeight="1">
      <c r="A288" s="160"/>
      <c r="B288" s="326"/>
      <c r="C288" s="369" t="s">
        <v>267</v>
      </c>
      <c r="D288" s="355">
        <v>17219.999999800002</v>
      </c>
      <c r="E288" s="388">
        <f t="shared" ref="E288:E293" si="31">P288/1000</f>
        <v>17219.999999800002</v>
      </c>
      <c r="F288" s="258"/>
      <c r="G288" s="388">
        <f t="shared" si="29"/>
        <v>0</v>
      </c>
      <c r="H288" s="390">
        <f t="shared" si="30"/>
        <v>0</v>
      </c>
      <c r="I288" s="247" t="s">
        <v>414</v>
      </c>
      <c r="J288" s="30">
        <v>1324615.3846</v>
      </c>
      <c r="K288" s="300" t="s">
        <v>146</v>
      </c>
      <c r="L288" s="301" t="s">
        <v>121</v>
      </c>
      <c r="M288" s="302">
        <v>13</v>
      </c>
      <c r="N288" s="302" t="s">
        <v>124</v>
      </c>
      <c r="O288" s="303" t="s">
        <v>136</v>
      </c>
      <c r="P288" s="30">
        <f>J288*M288</f>
        <v>17219999.9998</v>
      </c>
      <c r="Q288" s="254" t="s">
        <v>146</v>
      </c>
    </row>
    <row r="289" spans="1:17" ht="17.45" customHeight="1">
      <c r="A289" s="160"/>
      <c r="B289" s="326"/>
      <c r="C289" s="369" t="s">
        <v>341</v>
      </c>
      <c r="D289" s="355">
        <v>6609.999890000001</v>
      </c>
      <c r="E289" s="388">
        <f t="shared" si="31"/>
        <v>6609.999890000001</v>
      </c>
      <c r="F289" s="258"/>
      <c r="G289" s="388">
        <f t="shared" si="29"/>
        <v>0</v>
      </c>
      <c r="H289" s="390">
        <f t="shared" si="30"/>
        <v>0</v>
      </c>
      <c r="I289" s="247" t="s">
        <v>414</v>
      </c>
      <c r="J289" s="30">
        <v>508461.53</v>
      </c>
      <c r="K289" s="300" t="s">
        <v>146</v>
      </c>
      <c r="L289" s="301" t="s">
        <v>121</v>
      </c>
      <c r="M289" s="302">
        <v>13</v>
      </c>
      <c r="N289" s="302" t="s">
        <v>124</v>
      </c>
      <c r="O289" s="303" t="s">
        <v>136</v>
      </c>
      <c r="P289" s="30">
        <f>J289*M289</f>
        <v>6609999.8900000006</v>
      </c>
      <c r="Q289" s="254" t="s">
        <v>146</v>
      </c>
    </row>
    <row r="290" spans="1:17" ht="17.45" customHeight="1">
      <c r="A290" s="160"/>
      <c r="B290" s="326"/>
      <c r="C290" s="383" t="s">
        <v>33</v>
      </c>
      <c r="D290" s="389">
        <v>2520</v>
      </c>
      <c r="E290" s="388">
        <f t="shared" si="31"/>
        <v>2520</v>
      </c>
      <c r="F290" s="246"/>
      <c r="G290" s="388">
        <f t="shared" si="29"/>
        <v>0</v>
      </c>
      <c r="H290" s="390">
        <f t="shared" si="30"/>
        <v>0</v>
      </c>
      <c r="I290" s="247" t="s">
        <v>325</v>
      </c>
      <c r="J290" s="30">
        <v>2520000</v>
      </c>
      <c r="K290" s="300" t="s">
        <v>146</v>
      </c>
      <c r="L290" s="301" t="s">
        <v>121</v>
      </c>
      <c r="M290" s="302">
        <v>1</v>
      </c>
      <c r="N290" s="302" t="s">
        <v>124</v>
      </c>
      <c r="O290" s="303" t="s">
        <v>136</v>
      </c>
      <c r="P290" s="30">
        <f t="shared" si="23"/>
        <v>2520000</v>
      </c>
      <c r="Q290" s="254" t="s">
        <v>146</v>
      </c>
    </row>
    <row r="291" spans="1:17" ht="17.45" customHeight="1">
      <c r="A291" s="160"/>
      <c r="B291" s="326"/>
      <c r="C291" s="383" t="s">
        <v>281</v>
      </c>
      <c r="D291" s="388">
        <v>10360</v>
      </c>
      <c r="E291" s="388">
        <f t="shared" si="31"/>
        <v>10360</v>
      </c>
      <c r="F291" s="258"/>
      <c r="G291" s="388">
        <f t="shared" si="29"/>
        <v>0</v>
      </c>
      <c r="H291" s="390">
        <f t="shared" si="30"/>
        <v>0</v>
      </c>
      <c r="I291" s="247" t="s">
        <v>414</v>
      </c>
      <c r="J291" s="30">
        <v>5180000</v>
      </c>
      <c r="K291" s="300" t="s">
        <v>146</v>
      </c>
      <c r="L291" s="301" t="s">
        <v>121</v>
      </c>
      <c r="M291" s="302">
        <v>2</v>
      </c>
      <c r="N291" s="302" t="s">
        <v>124</v>
      </c>
      <c r="O291" s="303" t="s">
        <v>136</v>
      </c>
      <c r="P291" s="30">
        <f t="shared" si="23"/>
        <v>10360000</v>
      </c>
      <c r="Q291" s="254" t="s">
        <v>146</v>
      </c>
    </row>
    <row r="292" spans="1:17" ht="17.45" customHeight="1">
      <c r="A292" s="160"/>
      <c r="B292" s="326"/>
      <c r="C292" s="253" t="s">
        <v>455</v>
      </c>
      <c r="D292" s="388">
        <v>0</v>
      </c>
      <c r="E292" s="388">
        <f t="shared" si="31"/>
        <v>11964</v>
      </c>
      <c r="F292" s="258"/>
      <c r="G292" s="388">
        <f t="shared" si="29"/>
        <v>11964</v>
      </c>
      <c r="H292" s="598" t="s">
        <v>457</v>
      </c>
      <c r="I292" s="247" t="s">
        <v>456</v>
      </c>
      <c r="J292" s="30">
        <v>11964000</v>
      </c>
      <c r="K292" s="300" t="s">
        <v>146</v>
      </c>
      <c r="L292" s="301" t="s">
        <v>121</v>
      </c>
      <c r="M292" s="302">
        <v>1</v>
      </c>
      <c r="N292" s="302" t="s">
        <v>124</v>
      </c>
      <c r="O292" s="303" t="s">
        <v>136</v>
      </c>
      <c r="P292" s="30">
        <f t="shared" ref="P292" si="32">J292*M292</f>
        <v>11964000</v>
      </c>
      <c r="Q292" s="254" t="s">
        <v>146</v>
      </c>
    </row>
    <row r="293" spans="1:17" ht="17.45" customHeight="1">
      <c r="A293" s="265"/>
      <c r="B293" s="66"/>
      <c r="C293" s="253" t="s">
        <v>6</v>
      </c>
      <c r="D293" s="388">
        <v>50000</v>
      </c>
      <c r="E293" s="388">
        <f t="shared" si="31"/>
        <v>50000</v>
      </c>
      <c r="F293" s="246"/>
      <c r="G293" s="388">
        <f t="shared" si="29"/>
        <v>0</v>
      </c>
      <c r="H293" s="390">
        <f t="shared" si="30"/>
        <v>0</v>
      </c>
      <c r="I293" s="266" t="s">
        <v>234</v>
      </c>
      <c r="J293" s="50">
        <v>50000000</v>
      </c>
      <c r="K293" s="267" t="s">
        <v>146</v>
      </c>
      <c r="L293" s="268" t="s">
        <v>121</v>
      </c>
      <c r="M293" s="269">
        <v>1</v>
      </c>
      <c r="N293" s="269" t="s">
        <v>124</v>
      </c>
      <c r="O293" s="270" t="s">
        <v>136</v>
      </c>
      <c r="P293" s="50">
        <f t="shared" si="23"/>
        <v>50000000</v>
      </c>
      <c r="Q293" s="256" t="s">
        <v>146</v>
      </c>
    </row>
    <row r="294" spans="1:17" ht="20.100000000000001" customHeight="1">
      <c r="A294" s="85" t="s">
        <v>143</v>
      </c>
      <c r="B294" s="425" t="s">
        <v>165</v>
      </c>
      <c r="C294" s="557"/>
      <c r="D294" s="182">
        <f>+D295</f>
        <v>36000</v>
      </c>
      <c r="E294" s="184">
        <f>+E295</f>
        <v>45000</v>
      </c>
      <c r="F294" s="183"/>
      <c r="G294" s="184">
        <f>+E294-D294</f>
        <v>9000</v>
      </c>
      <c r="H294" s="244">
        <f>+G294/D294*100</f>
        <v>25</v>
      </c>
      <c r="I294" s="177"/>
      <c r="J294" s="42"/>
      <c r="K294" s="86"/>
      <c r="L294" s="51"/>
      <c r="M294" s="330"/>
      <c r="N294" s="330"/>
      <c r="O294" s="121"/>
      <c r="P294" s="189">
        <f>P295</f>
        <v>45000000</v>
      </c>
      <c r="Q294" s="124" t="s">
        <v>146</v>
      </c>
    </row>
    <row r="295" spans="1:17" ht="15.95" customHeight="1">
      <c r="A295" s="38"/>
      <c r="B295" s="109" t="s">
        <v>143</v>
      </c>
      <c r="C295" s="486" t="s">
        <v>143</v>
      </c>
      <c r="D295" s="489">
        <v>36000</v>
      </c>
      <c r="E295" s="480">
        <f>+P295/1000</f>
        <v>45000</v>
      </c>
      <c r="F295" s="361"/>
      <c r="G295" s="480">
        <f>+E295-D295</f>
        <v>9000</v>
      </c>
      <c r="H295" s="483">
        <f>+G295/D295*100</f>
        <v>25</v>
      </c>
      <c r="I295" s="170"/>
      <c r="J295" s="52"/>
      <c r="K295" s="86"/>
      <c r="L295" s="51"/>
      <c r="M295" s="420" t="s">
        <v>159</v>
      </c>
      <c r="N295" s="420"/>
      <c r="O295" s="420"/>
      <c r="P295" s="42">
        <f>SUM(P296:P297)</f>
        <v>45000000</v>
      </c>
      <c r="Q295" s="37" t="s">
        <v>146</v>
      </c>
    </row>
    <row r="296" spans="1:17" ht="15.95" customHeight="1">
      <c r="A296" s="38"/>
      <c r="B296" s="326"/>
      <c r="C296" s="487"/>
      <c r="D296" s="490"/>
      <c r="E296" s="481"/>
      <c r="F296" s="362"/>
      <c r="G296" s="481"/>
      <c r="H296" s="484"/>
      <c r="I296" s="350" t="s">
        <v>7</v>
      </c>
      <c r="J296" s="45">
        <v>15000000</v>
      </c>
      <c r="K296" s="29" t="s">
        <v>146</v>
      </c>
      <c r="L296" s="46" t="s">
        <v>121</v>
      </c>
      <c r="M296" s="381">
        <v>3</v>
      </c>
      <c r="N296" s="381" t="s">
        <v>124</v>
      </c>
      <c r="O296" s="53" t="s">
        <v>136</v>
      </c>
      <c r="P296" s="64">
        <f>+J296*M296</f>
        <v>45000000</v>
      </c>
      <c r="Q296" s="47" t="s">
        <v>146</v>
      </c>
    </row>
    <row r="297" spans="1:17" ht="15.95" customHeight="1">
      <c r="A297" s="103"/>
      <c r="B297" s="338"/>
      <c r="C297" s="488"/>
      <c r="D297" s="491"/>
      <c r="E297" s="482"/>
      <c r="F297" s="365"/>
      <c r="G297" s="482"/>
      <c r="H297" s="485"/>
      <c r="I297" s="187" t="s">
        <v>387</v>
      </c>
      <c r="J297" s="68">
        <v>0</v>
      </c>
      <c r="K297" s="174" t="s">
        <v>146</v>
      </c>
      <c r="L297" s="69" t="s">
        <v>121</v>
      </c>
      <c r="M297" s="380">
        <v>1</v>
      </c>
      <c r="N297" s="380" t="s">
        <v>124</v>
      </c>
      <c r="O297" s="70" t="s">
        <v>136</v>
      </c>
      <c r="P297" s="217">
        <f>+J297*M297</f>
        <v>0</v>
      </c>
      <c r="Q297" s="71" t="s">
        <v>146</v>
      </c>
    </row>
    <row r="298" spans="1:17" ht="21.75" customHeight="1">
      <c r="A298" s="240" t="s">
        <v>134</v>
      </c>
      <c r="B298" s="425" t="s">
        <v>165</v>
      </c>
      <c r="C298" s="439"/>
      <c r="D298" s="271">
        <f>SUM(D299:D309)</f>
        <v>2384939</v>
      </c>
      <c r="E298" s="314">
        <f>SUM(E299:E309)</f>
        <v>2858666.9559999998</v>
      </c>
      <c r="F298" s="272">
        <f>SUM(F304:F306)</f>
        <v>0</v>
      </c>
      <c r="G298" s="273">
        <f t="shared" si="29"/>
        <v>473727.95599999977</v>
      </c>
      <c r="H298" s="274">
        <f>+G298/D298*100</f>
        <v>19.863315413937201</v>
      </c>
      <c r="I298" s="177"/>
      <c r="J298" s="42"/>
      <c r="K298" s="86"/>
      <c r="L298" s="330"/>
      <c r="M298" s="330" t="s">
        <v>159</v>
      </c>
      <c r="N298" s="330"/>
      <c r="O298" s="330"/>
      <c r="P298" s="42">
        <f>SUM(P299,P303,P307)</f>
        <v>2858667437</v>
      </c>
      <c r="Q298" s="37" t="s">
        <v>146</v>
      </c>
    </row>
    <row r="299" spans="1:17" ht="18.75" customHeight="1">
      <c r="A299" s="222" t="s">
        <v>313</v>
      </c>
      <c r="B299" s="561" t="s">
        <v>290</v>
      </c>
      <c r="C299" s="548" t="s">
        <v>134</v>
      </c>
      <c r="D299" s="558">
        <v>2371535</v>
      </c>
      <c r="E299" s="480">
        <f>P299/1000</f>
        <v>2845263.9559999998</v>
      </c>
      <c r="F299" s="275"/>
      <c r="G299" s="480">
        <f>E299-D299</f>
        <v>473728.95599999977</v>
      </c>
      <c r="H299" s="483">
        <f>G299/D299*100</f>
        <v>19.975625744507237</v>
      </c>
      <c r="I299" s="170"/>
      <c r="J299" s="42"/>
      <c r="K299" s="86"/>
      <c r="L299" s="330"/>
      <c r="M299" s="330"/>
      <c r="N299" s="330"/>
      <c r="O299" s="330"/>
      <c r="P299" s="42">
        <f>SUM(P300:P302)</f>
        <v>2845263956</v>
      </c>
      <c r="Q299" s="37" t="s">
        <v>146</v>
      </c>
    </row>
    <row r="300" spans="1:17" ht="16.5" customHeight="1">
      <c r="A300" s="160"/>
      <c r="B300" s="562"/>
      <c r="C300" s="549"/>
      <c r="D300" s="559"/>
      <c r="E300" s="481"/>
      <c r="F300" s="275"/>
      <c r="G300" s="481"/>
      <c r="H300" s="484"/>
      <c r="I300" s="276" t="s">
        <v>75</v>
      </c>
      <c r="J300" s="30">
        <v>1739351963</v>
      </c>
      <c r="K300" s="29" t="s">
        <v>146</v>
      </c>
      <c r="L300" s="46" t="s">
        <v>121</v>
      </c>
      <c r="M300" s="381">
        <v>1</v>
      </c>
      <c r="N300" s="381" t="s">
        <v>124</v>
      </c>
      <c r="O300" s="53" t="s">
        <v>136</v>
      </c>
      <c r="P300" s="30">
        <f>+J300*M300</f>
        <v>1739351963</v>
      </c>
      <c r="Q300" s="47" t="s">
        <v>146</v>
      </c>
    </row>
    <row r="301" spans="1:17" ht="16.5" customHeight="1">
      <c r="A301" s="160"/>
      <c r="B301" s="562"/>
      <c r="C301" s="549"/>
      <c r="D301" s="559"/>
      <c r="E301" s="481"/>
      <c r="F301" s="277"/>
      <c r="G301" s="481"/>
      <c r="H301" s="484"/>
      <c r="I301" s="278" t="s">
        <v>206</v>
      </c>
      <c r="J301" s="30">
        <v>552649303</v>
      </c>
      <c r="K301" s="29" t="s">
        <v>146</v>
      </c>
      <c r="L301" s="46" t="s">
        <v>121</v>
      </c>
      <c r="M301" s="381">
        <v>1</v>
      </c>
      <c r="N301" s="381" t="s">
        <v>124</v>
      </c>
      <c r="O301" s="53" t="s">
        <v>136</v>
      </c>
      <c r="P301" s="30">
        <f>+J301*M301</f>
        <v>552649303</v>
      </c>
      <c r="Q301" s="47" t="s">
        <v>146</v>
      </c>
    </row>
    <row r="302" spans="1:17" ht="16.5" customHeight="1">
      <c r="A302" s="160"/>
      <c r="B302" s="562"/>
      <c r="C302" s="550"/>
      <c r="D302" s="560"/>
      <c r="E302" s="482"/>
      <c r="F302" s="215"/>
      <c r="G302" s="482"/>
      <c r="H302" s="485"/>
      <c r="I302" s="279" t="s">
        <v>183</v>
      </c>
      <c r="J302" s="280">
        <v>553262690</v>
      </c>
      <c r="K302" s="174" t="s">
        <v>146</v>
      </c>
      <c r="L302" s="69" t="s">
        <v>121</v>
      </c>
      <c r="M302" s="380">
        <v>1</v>
      </c>
      <c r="N302" s="380" t="s">
        <v>124</v>
      </c>
      <c r="O302" s="70" t="s">
        <v>136</v>
      </c>
      <c r="P302" s="50">
        <f>+J302*M302</f>
        <v>553262690</v>
      </c>
      <c r="Q302" s="71" t="s">
        <v>146</v>
      </c>
    </row>
    <row r="303" spans="1:17" ht="18.75" hidden="1" customHeight="1">
      <c r="A303" s="222"/>
      <c r="B303" s="562"/>
      <c r="C303" s="548" t="s">
        <v>287</v>
      </c>
      <c r="D303" s="558">
        <v>0</v>
      </c>
      <c r="E303" s="480">
        <f>(P303/1000)</f>
        <v>0</v>
      </c>
      <c r="F303" s="275"/>
      <c r="G303" s="480">
        <f>E303-D303</f>
        <v>0</v>
      </c>
      <c r="H303" s="483" t="e">
        <f>(E303-D303)/D303*100</f>
        <v>#DIV/0!</v>
      </c>
      <c r="I303" s="170"/>
      <c r="J303" s="42"/>
      <c r="K303" s="86"/>
      <c r="L303" s="330"/>
      <c r="M303" s="330"/>
      <c r="N303" s="330"/>
      <c r="O303" s="330"/>
      <c r="P303" s="42">
        <f>SUM(P304:P306)</f>
        <v>0</v>
      </c>
      <c r="Q303" s="37" t="s">
        <v>146</v>
      </c>
    </row>
    <row r="304" spans="1:17" ht="16.5" hidden="1" customHeight="1">
      <c r="A304" s="160"/>
      <c r="B304" s="562"/>
      <c r="C304" s="549"/>
      <c r="D304" s="559"/>
      <c r="E304" s="481"/>
      <c r="F304" s="275"/>
      <c r="G304" s="481"/>
      <c r="H304" s="484"/>
      <c r="I304" s="276" t="s">
        <v>75</v>
      </c>
      <c r="J304" s="30">
        <v>0</v>
      </c>
      <c r="K304" s="29" t="s">
        <v>146</v>
      </c>
      <c r="L304" s="46" t="s">
        <v>121</v>
      </c>
      <c r="M304" s="381">
        <v>1</v>
      </c>
      <c r="N304" s="381" t="s">
        <v>124</v>
      </c>
      <c r="O304" s="53" t="s">
        <v>136</v>
      </c>
      <c r="P304" s="30">
        <f>+J304*M304</f>
        <v>0</v>
      </c>
      <c r="Q304" s="47" t="s">
        <v>146</v>
      </c>
    </row>
    <row r="305" spans="1:17" ht="16.5" hidden="1" customHeight="1">
      <c r="A305" s="160"/>
      <c r="B305" s="562"/>
      <c r="C305" s="549"/>
      <c r="D305" s="559"/>
      <c r="E305" s="481"/>
      <c r="F305" s="277"/>
      <c r="G305" s="481"/>
      <c r="H305" s="484"/>
      <c r="I305" s="278" t="s">
        <v>206</v>
      </c>
      <c r="J305" s="30">
        <v>0</v>
      </c>
      <c r="K305" s="29" t="s">
        <v>146</v>
      </c>
      <c r="L305" s="46" t="s">
        <v>121</v>
      </c>
      <c r="M305" s="381">
        <v>1</v>
      </c>
      <c r="N305" s="381" t="s">
        <v>124</v>
      </c>
      <c r="O305" s="53" t="s">
        <v>136</v>
      </c>
      <c r="P305" s="30">
        <f>+J305*M305</f>
        <v>0</v>
      </c>
      <c r="Q305" s="47" t="s">
        <v>146</v>
      </c>
    </row>
    <row r="306" spans="1:17" ht="16.5" hidden="1" customHeight="1">
      <c r="A306" s="160"/>
      <c r="B306" s="562"/>
      <c r="C306" s="550"/>
      <c r="D306" s="560"/>
      <c r="E306" s="482"/>
      <c r="F306" s="215"/>
      <c r="G306" s="482"/>
      <c r="H306" s="485"/>
      <c r="I306" s="279" t="s">
        <v>183</v>
      </c>
      <c r="J306" s="280">
        <v>0</v>
      </c>
      <c r="K306" s="174" t="s">
        <v>146</v>
      </c>
      <c r="L306" s="69" t="s">
        <v>121</v>
      </c>
      <c r="M306" s="380">
        <v>1</v>
      </c>
      <c r="N306" s="380" t="s">
        <v>124</v>
      </c>
      <c r="O306" s="70" t="s">
        <v>136</v>
      </c>
      <c r="P306" s="50">
        <f>+J306*M306</f>
        <v>0</v>
      </c>
      <c r="Q306" s="71" t="s">
        <v>146</v>
      </c>
    </row>
    <row r="307" spans="1:17" ht="16.5" customHeight="1">
      <c r="A307" s="160"/>
      <c r="B307" s="562"/>
      <c r="C307" s="548" t="s">
        <v>174</v>
      </c>
      <c r="D307" s="480">
        <v>13404</v>
      </c>
      <c r="E307" s="480">
        <v>13403</v>
      </c>
      <c r="F307" s="281"/>
      <c r="G307" s="480">
        <f>E307-D307</f>
        <v>-1</v>
      </c>
      <c r="H307" s="483">
        <f>G307/D307*100</f>
        <v>-7.4604595643091619E-3</v>
      </c>
      <c r="I307" s="170"/>
      <c r="J307" s="52"/>
      <c r="K307" s="86"/>
      <c r="L307" s="51"/>
      <c r="M307" s="330" t="s">
        <v>159</v>
      </c>
      <c r="N307" s="330"/>
      <c r="O307" s="330"/>
      <c r="P307" s="42">
        <f>SUM(P308:P309)</f>
        <v>13403481</v>
      </c>
      <c r="Q307" s="37" t="s">
        <v>146</v>
      </c>
    </row>
    <row r="308" spans="1:17" ht="16.5" customHeight="1">
      <c r="A308" s="160"/>
      <c r="B308" s="562"/>
      <c r="C308" s="549"/>
      <c r="D308" s="481"/>
      <c r="E308" s="481"/>
      <c r="F308" s="292"/>
      <c r="G308" s="481"/>
      <c r="H308" s="484"/>
      <c r="I308" s="350" t="s">
        <v>438</v>
      </c>
      <c r="J308" s="45">
        <v>7189000</v>
      </c>
      <c r="K308" s="29" t="s">
        <v>146</v>
      </c>
      <c r="L308" s="46" t="s">
        <v>121</v>
      </c>
      <c r="M308" s="381">
        <v>1</v>
      </c>
      <c r="N308" s="381" t="s">
        <v>124</v>
      </c>
      <c r="O308" s="53" t="s">
        <v>136</v>
      </c>
      <c r="P308" s="64">
        <f>+J308*M308</f>
        <v>7189000</v>
      </c>
      <c r="Q308" s="47" t="s">
        <v>146</v>
      </c>
    </row>
    <row r="309" spans="1:17" ht="16.5" customHeight="1" thickBot="1">
      <c r="A309" s="282"/>
      <c r="B309" s="563"/>
      <c r="C309" s="582"/>
      <c r="D309" s="580"/>
      <c r="E309" s="580"/>
      <c r="F309" s="283"/>
      <c r="G309" s="580"/>
      <c r="H309" s="581"/>
      <c r="I309" s="310" t="s">
        <v>437</v>
      </c>
      <c r="J309" s="96">
        <v>6214481</v>
      </c>
      <c r="K309" s="311" t="s">
        <v>146</v>
      </c>
      <c r="L309" s="98" t="s">
        <v>121</v>
      </c>
      <c r="M309" s="97">
        <v>1</v>
      </c>
      <c r="N309" s="97" t="s">
        <v>124</v>
      </c>
      <c r="O309" s="99" t="s">
        <v>136</v>
      </c>
      <c r="P309" s="312">
        <f>+J309*M309</f>
        <v>6214481</v>
      </c>
      <c r="Q309" s="100" t="s">
        <v>146</v>
      </c>
    </row>
    <row r="310" spans="1:17" ht="16.5" customHeight="1">
      <c r="B310" s="284"/>
      <c r="C310" s="285"/>
      <c r="D310" s="133"/>
      <c r="F310" s="6"/>
      <c r="H310" s="286"/>
      <c r="I310" s="195"/>
      <c r="J310" s="45"/>
      <c r="L310" s="46"/>
      <c r="O310" s="53"/>
      <c r="P310" s="64"/>
    </row>
    <row r="311" spans="1:17">
      <c r="I311" s="287"/>
    </row>
    <row r="312" spans="1:17">
      <c r="I312" s="288"/>
    </row>
    <row r="313" spans="1:17" ht="9.75" customHeight="1"/>
    <row r="314" spans="1:17" ht="21.75" customHeight="1"/>
    <row r="316" spans="1:17">
      <c r="I316" s="289"/>
    </row>
    <row r="317" spans="1:17">
      <c r="I317" s="289"/>
    </row>
  </sheetData>
  <mergeCells count="372">
    <mergeCell ref="G109:G110"/>
    <mergeCell ref="H199:H201"/>
    <mergeCell ref="G181:G186"/>
    <mergeCell ref="G192:G198"/>
    <mergeCell ref="G187:G190"/>
    <mergeCell ref="H181:H186"/>
    <mergeCell ref="G199:G201"/>
    <mergeCell ref="H163:H165"/>
    <mergeCell ref="G125:G126"/>
    <mergeCell ref="H138:H140"/>
    <mergeCell ref="H149:H151"/>
    <mergeCell ref="G141:G147"/>
    <mergeCell ref="H141:H147"/>
    <mergeCell ref="G138:G140"/>
    <mergeCell ref="G127:G128"/>
    <mergeCell ref="E172:E177"/>
    <mergeCell ref="E167:E170"/>
    <mergeCell ref="F181:F186"/>
    <mergeCell ref="F192:F197"/>
    <mergeCell ref="D199:D201"/>
    <mergeCell ref="E178:E179"/>
    <mergeCell ref="G178:G179"/>
    <mergeCell ref="E181:E186"/>
    <mergeCell ref="F167:F170"/>
    <mergeCell ref="E199:E201"/>
    <mergeCell ref="E187:E190"/>
    <mergeCell ref="F187:F190"/>
    <mergeCell ref="F199:F201"/>
    <mergeCell ref="G172:G177"/>
    <mergeCell ref="F172:F173"/>
    <mergeCell ref="D187:D190"/>
    <mergeCell ref="G295:G297"/>
    <mergeCell ref="E303:E306"/>
    <mergeCell ref="D181:D186"/>
    <mergeCell ref="E192:E198"/>
    <mergeCell ref="H303:H306"/>
    <mergeCell ref="C295:C297"/>
    <mergeCell ref="D295:D297"/>
    <mergeCell ref="E295:E297"/>
    <mergeCell ref="G307:G309"/>
    <mergeCell ref="G303:G306"/>
    <mergeCell ref="H192:H198"/>
    <mergeCell ref="H187:H190"/>
    <mergeCell ref="E299:E302"/>
    <mergeCell ref="G299:G302"/>
    <mergeCell ref="H299:H302"/>
    <mergeCell ref="E307:E309"/>
    <mergeCell ref="H307:H309"/>
    <mergeCell ref="H295:H297"/>
    <mergeCell ref="C307:C309"/>
    <mergeCell ref="C303:C306"/>
    <mergeCell ref="B202:C202"/>
    <mergeCell ref="D303:D306"/>
    <mergeCell ref="B298:C298"/>
    <mergeCell ref="D307:D309"/>
    <mergeCell ref="C187:C190"/>
    <mergeCell ref="F109:F110"/>
    <mergeCell ref="A1:B1"/>
    <mergeCell ref="A2:B2"/>
    <mergeCell ref="A3:A4"/>
    <mergeCell ref="B6:C6"/>
    <mergeCell ref="C107:C108"/>
    <mergeCell ref="D123:D124"/>
    <mergeCell ref="D38:D39"/>
    <mergeCell ref="C30:C31"/>
    <mergeCell ref="D82:D83"/>
    <mergeCell ref="C96:C97"/>
    <mergeCell ref="C47:C48"/>
    <mergeCell ref="C40:C45"/>
    <mergeCell ref="C93:C95"/>
    <mergeCell ref="C82:C83"/>
    <mergeCell ref="C90:C92"/>
    <mergeCell ref="C24:C29"/>
    <mergeCell ref="C13:C21"/>
    <mergeCell ref="C38:C39"/>
    <mergeCell ref="C104:C106"/>
    <mergeCell ref="C117:C122"/>
    <mergeCell ref="D117:D122"/>
    <mergeCell ref="C3:C4"/>
    <mergeCell ref="G3:H3"/>
    <mergeCell ref="H117:H122"/>
    <mergeCell ref="G102:G103"/>
    <mergeCell ref="M99:O99"/>
    <mergeCell ref="G99:G101"/>
    <mergeCell ref="H102:H103"/>
    <mergeCell ref="H109:H110"/>
    <mergeCell ref="F104:F105"/>
    <mergeCell ref="M102:O102"/>
    <mergeCell ref="G107:G108"/>
    <mergeCell ref="H107:H108"/>
    <mergeCell ref="M104:O104"/>
    <mergeCell ref="G104:G106"/>
    <mergeCell ref="H96:H97"/>
    <mergeCell ref="G78:G79"/>
    <mergeCell ref="G13:G21"/>
    <mergeCell ref="G8:G12"/>
    <mergeCell ref="H13:H21"/>
    <mergeCell ref="M22:O22"/>
    <mergeCell ref="H22:H23"/>
    <mergeCell ref="G22:G23"/>
    <mergeCell ref="H49:H55"/>
    <mergeCell ref="G112:G114"/>
    <mergeCell ref="H112:H114"/>
    <mergeCell ref="F160:F161"/>
    <mergeCell ref="F163:F165"/>
    <mergeCell ref="O2:Q2"/>
    <mergeCell ref="M111:O111"/>
    <mergeCell ref="M141:O141"/>
    <mergeCell ref="M152:O152"/>
    <mergeCell ref="M129:O129"/>
    <mergeCell ref="M149:O149"/>
    <mergeCell ref="M123:O123"/>
    <mergeCell ref="M96:O96"/>
    <mergeCell ref="M90:O90"/>
    <mergeCell ref="M109:O109"/>
    <mergeCell ref="M93:O93"/>
    <mergeCell ref="M98:O98"/>
    <mergeCell ref="M107:O107"/>
    <mergeCell ref="M112:O112"/>
    <mergeCell ref="M117:O117"/>
    <mergeCell ref="I3:Q4"/>
    <mergeCell ref="M133:O133"/>
    <mergeCell ref="M115:O115"/>
    <mergeCell ref="M56:O56"/>
    <mergeCell ref="M60:O60"/>
    <mergeCell ref="M65:O65"/>
    <mergeCell ref="M86:O86"/>
    <mergeCell ref="M295:O295"/>
    <mergeCell ref="M187:O187"/>
    <mergeCell ref="M199:O199"/>
    <mergeCell ref="M172:O172"/>
    <mergeCell ref="M181:O181"/>
    <mergeCell ref="M178:O178"/>
    <mergeCell ref="M163:O163"/>
    <mergeCell ref="H172:H177"/>
    <mergeCell ref="M192:O192"/>
    <mergeCell ref="M167:O167"/>
    <mergeCell ref="H178:H179"/>
    <mergeCell ref="C199:C201"/>
    <mergeCell ref="B294:C294"/>
    <mergeCell ref="C192:C198"/>
    <mergeCell ref="C181:C186"/>
    <mergeCell ref="D192:D198"/>
    <mergeCell ref="C299:C302"/>
    <mergeCell ref="D299:D302"/>
    <mergeCell ref="B299:B309"/>
    <mergeCell ref="C112:C114"/>
    <mergeCell ref="D112:D114"/>
    <mergeCell ref="C178:C179"/>
    <mergeCell ref="D178:D179"/>
    <mergeCell ref="C160:C161"/>
    <mergeCell ref="D141:D147"/>
    <mergeCell ref="C123:C124"/>
    <mergeCell ref="D133:D134"/>
    <mergeCell ref="D138:D140"/>
    <mergeCell ref="C127:C128"/>
    <mergeCell ref="D127:D128"/>
    <mergeCell ref="D125:D126"/>
    <mergeCell ref="C138:C140"/>
    <mergeCell ref="C129:C131"/>
    <mergeCell ref="D129:D131"/>
    <mergeCell ref="C135:C137"/>
    <mergeCell ref="C172:C177"/>
    <mergeCell ref="C65:C67"/>
    <mergeCell ref="D115:D116"/>
    <mergeCell ref="D107:D108"/>
    <mergeCell ref="D172:D177"/>
    <mergeCell ref="D80:D81"/>
    <mergeCell ref="D90:D92"/>
    <mergeCell ref="C141:C147"/>
    <mergeCell ref="D160:D161"/>
    <mergeCell ref="D163:D165"/>
    <mergeCell ref="D155:D159"/>
    <mergeCell ref="C152:C153"/>
    <mergeCell ref="C155:C159"/>
    <mergeCell ref="C149:C151"/>
    <mergeCell ref="C163:C165"/>
    <mergeCell ref="D167:D170"/>
    <mergeCell ref="C125:C126"/>
    <mergeCell ref="C68:C76"/>
    <mergeCell ref="D68:D76"/>
    <mergeCell ref="C109:C110"/>
    <mergeCell ref="C115:C116"/>
    <mergeCell ref="C99:C101"/>
    <mergeCell ref="D99:D101"/>
    <mergeCell ref="C133:C134"/>
    <mergeCell ref="C167:C170"/>
    <mergeCell ref="E160:E161"/>
    <mergeCell ref="E163:E165"/>
    <mergeCell ref="C102:C103"/>
    <mergeCell ref="B84:C84"/>
    <mergeCell ref="C80:C81"/>
    <mergeCell ref="D149:D151"/>
    <mergeCell ref="D109:D110"/>
    <mergeCell ref="D104:D106"/>
    <mergeCell ref="D102:D103"/>
    <mergeCell ref="E149:E151"/>
    <mergeCell ref="E155:E159"/>
    <mergeCell ref="F13:F19"/>
    <mergeCell ref="D22:D23"/>
    <mergeCell ref="C22:C23"/>
    <mergeCell ref="F22:F23"/>
    <mergeCell ref="E93:E95"/>
    <mergeCell ref="E99:E101"/>
    <mergeCell ref="D96:D97"/>
    <mergeCell ref="F60:F64"/>
    <mergeCell ref="F65:F67"/>
    <mergeCell ref="F30:F31"/>
    <mergeCell ref="F33:F35"/>
    <mergeCell ref="F47:F48"/>
    <mergeCell ref="F40:F45"/>
    <mergeCell ref="E24:E29"/>
    <mergeCell ref="F24:F29"/>
    <mergeCell ref="E38:E39"/>
    <mergeCell ref="E40:E45"/>
    <mergeCell ref="E47:E48"/>
    <mergeCell ref="D30:D31"/>
    <mergeCell ref="E49:E55"/>
    <mergeCell ref="D60:D64"/>
    <mergeCell ref="D49:D55"/>
    <mergeCell ref="D93:D95"/>
    <mergeCell ref="E68:E76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D3:D4"/>
    <mergeCell ref="F3:F4"/>
    <mergeCell ref="E30:E31"/>
    <mergeCell ref="F56:F59"/>
    <mergeCell ref="C78:C79"/>
    <mergeCell ref="C49:C55"/>
    <mergeCell ref="C86:C89"/>
    <mergeCell ref="E56:E59"/>
    <mergeCell ref="D56:D59"/>
    <mergeCell ref="B77:C77"/>
    <mergeCell ref="C56:C59"/>
    <mergeCell ref="C60:C64"/>
    <mergeCell ref="E78:E79"/>
    <mergeCell ref="D78:D79"/>
    <mergeCell ref="E86:E89"/>
    <mergeCell ref="D86:D89"/>
    <mergeCell ref="D24:D29"/>
    <mergeCell ref="D47:D48"/>
    <mergeCell ref="D40:D45"/>
    <mergeCell ref="D65:D67"/>
    <mergeCell ref="E65:E67"/>
    <mergeCell ref="F78:F79"/>
    <mergeCell ref="F82:F83"/>
    <mergeCell ref="E60:E64"/>
    <mergeCell ref="F49:F55"/>
    <mergeCell ref="F115:F116"/>
    <mergeCell ref="E129:E131"/>
    <mergeCell ref="E112:E114"/>
    <mergeCell ref="F80:F81"/>
    <mergeCell ref="F93:F95"/>
    <mergeCell ref="F86:F89"/>
    <mergeCell ref="F99:F101"/>
    <mergeCell ref="F102:F103"/>
    <mergeCell ref="F90:F92"/>
    <mergeCell ref="E125:E126"/>
    <mergeCell ref="F123:F124"/>
    <mergeCell ref="E109:E110"/>
    <mergeCell ref="E80:E81"/>
    <mergeCell ref="F155:F158"/>
    <mergeCell ref="D135:D137"/>
    <mergeCell ref="E135:E137"/>
    <mergeCell ref="E117:E122"/>
    <mergeCell ref="E141:E147"/>
    <mergeCell ref="E133:E134"/>
    <mergeCell ref="E138:E140"/>
    <mergeCell ref="E123:E124"/>
    <mergeCell ref="E127:E128"/>
    <mergeCell ref="F133:F134"/>
    <mergeCell ref="F127:F128"/>
    <mergeCell ref="E152:E153"/>
    <mergeCell ref="D152:D153"/>
    <mergeCell ref="F141:F146"/>
    <mergeCell ref="G82:G83"/>
    <mergeCell ref="E115:E116"/>
    <mergeCell ref="F149:F151"/>
    <mergeCell ref="E102:E103"/>
    <mergeCell ref="H80:H81"/>
    <mergeCell ref="H86:H89"/>
    <mergeCell ref="G86:G89"/>
    <mergeCell ref="H129:H131"/>
    <mergeCell ref="H123:H124"/>
    <mergeCell ref="G123:G124"/>
    <mergeCell ref="G115:G116"/>
    <mergeCell ref="H115:H116"/>
    <mergeCell ref="G133:G134"/>
    <mergeCell ref="H133:H134"/>
    <mergeCell ref="G117:G122"/>
    <mergeCell ref="H125:H126"/>
    <mergeCell ref="H99:H101"/>
    <mergeCell ref="H104:H106"/>
    <mergeCell ref="E104:E106"/>
    <mergeCell ref="E107:E108"/>
    <mergeCell ref="E96:E97"/>
    <mergeCell ref="E82:E83"/>
    <mergeCell ref="E90:E92"/>
    <mergeCell ref="G149:G151"/>
    <mergeCell ref="M33:O33"/>
    <mergeCell ref="M38:O38"/>
    <mergeCell ref="M40:O40"/>
    <mergeCell ref="M49:O49"/>
    <mergeCell ref="H40:H45"/>
    <mergeCell ref="G30:G31"/>
    <mergeCell ref="H38:H39"/>
    <mergeCell ref="G38:G39"/>
    <mergeCell ref="H47:H48"/>
    <mergeCell ref="M29:N29"/>
    <mergeCell ref="H30:H31"/>
    <mergeCell ref="M13:O13"/>
    <mergeCell ref="M28:N28"/>
    <mergeCell ref="M24:O24"/>
    <mergeCell ref="G24:G29"/>
    <mergeCell ref="H8:H12"/>
    <mergeCell ref="G47:G48"/>
    <mergeCell ref="G40:G45"/>
    <mergeCell ref="M25:N25"/>
    <mergeCell ref="M26:N26"/>
    <mergeCell ref="M27:N27"/>
    <mergeCell ref="H24:H29"/>
    <mergeCell ref="G49:G55"/>
    <mergeCell ref="M127:O127"/>
    <mergeCell ref="H127:H128"/>
    <mergeCell ref="G129:G131"/>
    <mergeCell ref="G167:G170"/>
    <mergeCell ref="G155:G159"/>
    <mergeCell ref="H155:H159"/>
    <mergeCell ref="G135:G137"/>
    <mergeCell ref="H135:H137"/>
    <mergeCell ref="M155:O155"/>
    <mergeCell ref="H167:H170"/>
    <mergeCell ref="M160:O160"/>
    <mergeCell ref="G160:G161"/>
    <mergeCell ref="G152:G153"/>
    <mergeCell ref="H152:H153"/>
    <mergeCell ref="H160:H161"/>
    <mergeCell ref="G163:G165"/>
    <mergeCell ref="M138:O138"/>
    <mergeCell ref="M135:O135"/>
    <mergeCell ref="G68:G76"/>
    <mergeCell ref="H68:H76"/>
    <mergeCell ref="C33:C37"/>
    <mergeCell ref="D33:D37"/>
    <mergeCell ref="E33:E37"/>
    <mergeCell ref="G33:G37"/>
    <mergeCell ref="H33:H37"/>
    <mergeCell ref="M125:O125"/>
    <mergeCell ref="H90:H92"/>
    <mergeCell ref="H65:H67"/>
    <mergeCell ref="G65:G67"/>
    <mergeCell ref="H60:H64"/>
    <mergeCell ref="H78:H79"/>
    <mergeCell ref="M68:O68"/>
    <mergeCell ref="M85:O85"/>
    <mergeCell ref="G96:G97"/>
    <mergeCell ref="G93:G95"/>
    <mergeCell ref="G90:G92"/>
    <mergeCell ref="H93:H95"/>
    <mergeCell ref="H56:H59"/>
    <mergeCell ref="G56:G59"/>
    <mergeCell ref="G60:G64"/>
    <mergeCell ref="G80:G81"/>
    <mergeCell ref="H82:H83"/>
  </mergeCells>
  <phoneticPr fontId="6" type="noConversion"/>
  <pageMargins left="0.27559055118110237" right="0.27559055118110237" top="0.47244094488188981" bottom="0.39370078740157483" header="0.39370078740157483" footer="0.19685039370078741"/>
  <pageSetup paperSize="9" scale="89" firstPageNumber="4" fitToWidth="14" fitToHeight="14" orientation="landscape" useFirstPageNumber="1" r:id="rId1"/>
  <headerFooter>
    <oddFooter>&amp;C&amp;"맑은 고딕,Regular"&amp;P</oddFooter>
  </headerFooter>
  <rowBreaks count="9" manualBreakCount="9">
    <brk id="35" max="1048575" man="1"/>
    <brk id="64" max="16" man="1"/>
    <brk id="97" max="16" man="1"/>
    <brk id="131" max="16" man="1"/>
    <brk id="161" max="16" man="1"/>
    <brk id="190" max="16" man="1"/>
    <brk id="222" max="16" man="1"/>
    <brk id="253" max="16" man="1"/>
    <brk id="28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세입예산서</vt:lpstr>
      <vt:lpstr>세출예산서</vt:lpstr>
      <vt:lpstr>세입예산서!Print_Area</vt:lpstr>
      <vt:lpstr>세출예산서!Print_Area</vt:lpstr>
      <vt:lpstr>예산총칙!Print_Area</vt:lpstr>
      <vt:lpstr>세입예산서!Print_Titles</vt:lpstr>
      <vt:lpstr>세출예산서!Print_Titles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28</cp:revision>
  <cp:lastPrinted>2023-10-10T02:10:33Z</cp:lastPrinted>
  <dcterms:created xsi:type="dcterms:W3CDTF">2009-12-07T05:26:05Z</dcterms:created>
  <dcterms:modified xsi:type="dcterms:W3CDTF">2023-10-18T00:17:43Z</dcterms:modified>
  <cp:version>1100.0100.01</cp:version>
</cp:coreProperties>
</file>