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29040" windowHeight="13740" activeTab="2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세입명세서!$A$1:$Z$115</definedName>
    <definedName name="_xlnm.Print_Area" localSheetId="2">세출명세서!$A$1:$Q$395</definedName>
    <definedName name="_xlnm.Print_Area" localSheetId="0">예산총칙!$A$1:$P$24</definedName>
    <definedName name="_xlnm.Print_Titles" localSheetId="1">세입명세서!$4:$5</definedName>
    <definedName name="_xlnm.Print_Titles" localSheetId="2">세출명세서!$3:$4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58" i="7" l="1"/>
  <c r="D103" i="6"/>
  <c r="P366" i="7" l="1"/>
  <c r="E366" i="7" s="1"/>
  <c r="G366" i="7" s="1"/>
  <c r="P395" i="7" l="1"/>
  <c r="E395" i="7" s="1"/>
  <c r="P394" i="7"/>
  <c r="E394" i="7" s="1"/>
  <c r="F394" i="7" s="1"/>
  <c r="P393" i="7"/>
  <c r="E393" i="7" s="1"/>
  <c r="G393" i="7" s="1"/>
  <c r="H393" i="7" s="1"/>
  <c r="P392" i="7"/>
  <c r="E392" i="7" s="1"/>
  <c r="P391" i="7"/>
  <c r="E391" i="7" s="1"/>
  <c r="P390" i="7"/>
  <c r="P389" i="7"/>
  <c r="P387" i="7"/>
  <c r="P386" i="7"/>
  <c r="P385" i="7"/>
  <c r="F383" i="7"/>
  <c r="D383" i="7"/>
  <c r="P382" i="7"/>
  <c r="G382" i="7"/>
  <c r="H382" i="7" s="1"/>
  <c r="E382" i="7"/>
  <c r="P381" i="7"/>
  <c r="E381" i="7" s="1"/>
  <c r="P380" i="7"/>
  <c r="E380" i="7" s="1"/>
  <c r="G380" i="7" s="1"/>
  <c r="H380" i="7" s="1"/>
  <c r="P379" i="7"/>
  <c r="E379" i="7" s="1"/>
  <c r="P378" i="7"/>
  <c r="E378" i="7" s="1"/>
  <c r="G378" i="7" s="1"/>
  <c r="H378" i="7" s="1"/>
  <c r="P377" i="7"/>
  <c r="E377" i="7"/>
  <c r="P376" i="7"/>
  <c r="E376" i="7" s="1"/>
  <c r="P375" i="7"/>
  <c r="E375" i="7" s="1"/>
  <c r="P374" i="7"/>
  <c r="E374" i="7" s="1"/>
  <c r="G374" i="7" s="1"/>
  <c r="H374" i="7" s="1"/>
  <c r="P373" i="7"/>
  <c r="E373" i="7" s="1"/>
  <c r="G373" i="7" s="1"/>
  <c r="H373" i="7" s="1"/>
  <c r="P372" i="7"/>
  <c r="E372" i="7" s="1"/>
  <c r="P371" i="7"/>
  <c r="E371" i="7" s="1"/>
  <c r="G371" i="7" s="1"/>
  <c r="H371" i="7" s="1"/>
  <c r="P370" i="7"/>
  <c r="E370" i="7"/>
  <c r="G370" i="7" s="1"/>
  <c r="H370" i="7" s="1"/>
  <c r="P369" i="7"/>
  <c r="E369" i="7"/>
  <c r="P368" i="7"/>
  <c r="E368" i="7" s="1"/>
  <c r="P367" i="7"/>
  <c r="E367" i="7" s="1"/>
  <c r="P365" i="7"/>
  <c r="E365" i="7" s="1"/>
  <c r="G365" i="7" s="1"/>
  <c r="H365" i="7" s="1"/>
  <c r="P364" i="7"/>
  <c r="E364" i="7" s="1"/>
  <c r="P363" i="7"/>
  <c r="E363" i="7" s="1"/>
  <c r="G363" i="7" s="1"/>
  <c r="H363" i="7" s="1"/>
  <c r="P362" i="7"/>
  <c r="E362" i="7" s="1"/>
  <c r="P361" i="7"/>
  <c r="E361" i="7" s="1"/>
  <c r="G361" i="7" s="1"/>
  <c r="H361" i="7" s="1"/>
  <c r="P360" i="7"/>
  <c r="E360" i="7"/>
  <c r="P359" i="7"/>
  <c r="E359" i="7" s="1"/>
  <c r="P358" i="7"/>
  <c r="E358" i="7" s="1"/>
  <c r="P357" i="7"/>
  <c r="G357" i="7"/>
  <c r="H357" i="7" s="1"/>
  <c r="E357" i="7"/>
  <c r="P356" i="7"/>
  <c r="E356" i="7" s="1"/>
  <c r="G356" i="7" s="1"/>
  <c r="H356" i="7" s="1"/>
  <c r="P355" i="7"/>
  <c r="E355" i="7" s="1"/>
  <c r="P354" i="7"/>
  <c r="E354" i="7" s="1"/>
  <c r="G354" i="7" s="1"/>
  <c r="H354" i="7" s="1"/>
  <c r="P353" i="7"/>
  <c r="E353" i="7"/>
  <c r="G353" i="7" s="1"/>
  <c r="H353" i="7" s="1"/>
  <c r="P352" i="7"/>
  <c r="E352" i="7"/>
  <c r="P351" i="7"/>
  <c r="E351" i="7" s="1"/>
  <c r="P350" i="7"/>
  <c r="E350" i="7" s="1"/>
  <c r="P349" i="7"/>
  <c r="E349" i="7" s="1"/>
  <c r="G349" i="7" s="1"/>
  <c r="H349" i="7" s="1"/>
  <c r="P348" i="7"/>
  <c r="E348" i="7" s="1"/>
  <c r="P347" i="7"/>
  <c r="E347" i="7" s="1"/>
  <c r="G347" i="7" s="1"/>
  <c r="H347" i="7" s="1"/>
  <c r="P346" i="7"/>
  <c r="E346" i="7" s="1"/>
  <c r="P345" i="7"/>
  <c r="E345" i="7" s="1"/>
  <c r="G345" i="7" s="1"/>
  <c r="H345" i="7" s="1"/>
  <c r="P344" i="7"/>
  <c r="E344" i="7"/>
  <c r="P343" i="7"/>
  <c r="E343" i="7" s="1"/>
  <c r="P342" i="7"/>
  <c r="E342" i="7" s="1"/>
  <c r="P341" i="7"/>
  <c r="G341" i="7"/>
  <c r="H341" i="7" s="1"/>
  <c r="E341" i="7"/>
  <c r="P340" i="7"/>
  <c r="E340" i="7" s="1"/>
  <c r="G340" i="7" s="1"/>
  <c r="H340" i="7" s="1"/>
  <c r="P339" i="7"/>
  <c r="E339" i="7" s="1"/>
  <c r="G339" i="7" s="1"/>
  <c r="H339" i="7" s="1"/>
  <c r="P338" i="7"/>
  <c r="E338" i="7" s="1"/>
  <c r="G338" i="7" s="1"/>
  <c r="H338" i="7" s="1"/>
  <c r="P337" i="7"/>
  <c r="E337" i="7"/>
  <c r="G337" i="7" s="1"/>
  <c r="H337" i="7" s="1"/>
  <c r="P336" i="7"/>
  <c r="E336" i="7"/>
  <c r="G336" i="7" s="1"/>
  <c r="H336" i="7" s="1"/>
  <c r="P335" i="7"/>
  <c r="E335" i="7" s="1"/>
  <c r="G335" i="7" s="1"/>
  <c r="H335" i="7" s="1"/>
  <c r="P334" i="7"/>
  <c r="E334" i="7" s="1"/>
  <c r="G334" i="7" s="1"/>
  <c r="H334" i="7" s="1"/>
  <c r="P333" i="7"/>
  <c r="E333" i="7" s="1"/>
  <c r="G333" i="7" s="1"/>
  <c r="H333" i="7" s="1"/>
  <c r="P332" i="7"/>
  <c r="E332" i="7" s="1"/>
  <c r="G332" i="7" s="1"/>
  <c r="H332" i="7" s="1"/>
  <c r="P331" i="7"/>
  <c r="G331" i="7"/>
  <c r="P330" i="7"/>
  <c r="E330" i="7" s="1"/>
  <c r="G330" i="7" s="1"/>
  <c r="H330" i="7" s="1"/>
  <c r="P329" i="7"/>
  <c r="E329" i="7" s="1"/>
  <c r="G329" i="7" s="1"/>
  <c r="H329" i="7" s="1"/>
  <c r="P328" i="7"/>
  <c r="E328" i="7" s="1"/>
  <c r="G328" i="7" s="1"/>
  <c r="H328" i="7" s="1"/>
  <c r="P327" i="7"/>
  <c r="E327" i="7" s="1"/>
  <c r="G327" i="7" s="1"/>
  <c r="H327" i="7" s="1"/>
  <c r="P326" i="7"/>
  <c r="E326" i="7" s="1"/>
  <c r="G326" i="7" s="1"/>
  <c r="H326" i="7" s="1"/>
  <c r="P325" i="7"/>
  <c r="E325" i="7" s="1"/>
  <c r="G325" i="7" s="1"/>
  <c r="H325" i="7" s="1"/>
  <c r="P324" i="7"/>
  <c r="E324" i="7" s="1"/>
  <c r="G324" i="7" s="1"/>
  <c r="H324" i="7" s="1"/>
  <c r="P323" i="7"/>
  <c r="E323" i="7" s="1"/>
  <c r="G323" i="7" s="1"/>
  <c r="H323" i="7" s="1"/>
  <c r="P322" i="7"/>
  <c r="E322" i="7" s="1"/>
  <c r="G322" i="7" s="1"/>
  <c r="H322" i="7" s="1"/>
  <c r="P321" i="7"/>
  <c r="E321" i="7" s="1"/>
  <c r="G321" i="7" s="1"/>
  <c r="H321" i="7" s="1"/>
  <c r="P320" i="7"/>
  <c r="E320" i="7" s="1"/>
  <c r="G320" i="7" s="1"/>
  <c r="H320" i="7" s="1"/>
  <c r="P319" i="7"/>
  <c r="F319" i="7"/>
  <c r="E319" i="7"/>
  <c r="G319" i="7" s="1"/>
  <c r="H319" i="7" s="1"/>
  <c r="P318" i="7"/>
  <c r="E318" i="7" s="1"/>
  <c r="G318" i="7" s="1"/>
  <c r="H318" i="7" s="1"/>
  <c r="P317" i="7"/>
  <c r="E317" i="7" s="1"/>
  <c r="G317" i="7" s="1"/>
  <c r="H317" i="7" s="1"/>
  <c r="P316" i="7"/>
  <c r="E316" i="7" s="1"/>
  <c r="G316" i="7" s="1"/>
  <c r="H316" i="7" s="1"/>
  <c r="P315" i="7"/>
  <c r="E315" i="7"/>
  <c r="G315" i="7" s="1"/>
  <c r="H315" i="7" s="1"/>
  <c r="P314" i="7"/>
  <c r="E314" i="7" s="1"/>
  <c r="G314" i="7" s="1"/>
  <c r="H314" i="7" s="1"/>
  <c r="P313" i="7"/>
  <c r="E313" i="7" s="1"/>
  <c r="G313" i="7" s="1"/>
  <c r="H313" i="7" s="1"/>
  <c r="P312" i="7"/>
  <c r="G312" i="7"/>
  <c r="H312" i="7" s="1"/>
  <c r="E312" i="7"/>
  <c r="P311" i="7"/>
  <c r="E311" i="7" s="1"/>
  <c r="G311" i="7" s="1"/>
  <c r="H311" i="7" s="1"/>
  <c r="P310" i="7"/>
  <c r="E310" i="7" s="1"/>
  <c r="G310" i="7" s="1"/>
  <c r="H310" i="7" s="1"/>
  <c r="P309" i="7"/>
  <c r="E309" i="7" s="1"/>
  <c r="G309" i="7" s="1"/>
  <c r="H309" i="7" s="1"/>
  <c r="P308" i="7"/>
  <c r="E308" i="7"/>
  <c r="G308" i="7" s="1"/>
  <c r="H308" i="7" s="1"/>
  <c r="P307" i="7"/>
  <c r="E307" i="7"/>
  <c r="G307" i="7" s="1"/>
  <c r="H307" i="7" s="1"/>
  <c r="P306" i="7"/>
  <c r="E306" i="7" s="1"/>
  <c r="G306" i="7" s="1"/>
  <c r="H306" i="7" s="1"/>
  <c r="P305" i="7"/>
  <c r="E305" i="7" s="1"/>
  <c r="G305" i="7" s="1"/>
  <c r="H305" i="7" s="1"/>
  <c r="P304" i="7"/>
  <c r="E304" i="7" s="1"/>
  <c r="G304" i="7" s="1"/>
  <c r="H304" i="7" s="1"/>
  <c r="P303" i="7"/>
  <c r="E303" i="7" s="1"/>
  <c r="G303" i="7" s="1"/>
  <c r="H303" i="7" s="1"/>
  <c r="P302" i="7"/>
  <c r="E302" i="7" s="1"/>
  <c r="G302" i="7" s="1"/>
  <c r="H302" i="7" s="1"/>
  <c r="P301" i="7"/>
  <c r="E301" i="7" s="1"/>
  <c r="G301" i="7" s="1"/>
  <c r="H301" i="7" s="1"/>
  <c r="F301" i="7"/>
  <c r="F282" i="7" s="1"/>
  <c r="P300" i="7"/>
  <c r="E300" i="7" s="1"/>
  <c r="G300" i="7" s="1"/>
  <c r="H300" i="7" s="1"/>
  <c r="P299" i="7"/>
  <c r="E299" i="7" s="1"/>
  <c r="G299" i="7" s="1"/>
  <c r="H299" i="7" s="1"/>
  <c r="P298" i="7"/>
  <c r="E298" i="7" s="1"/>
  <c r="G298" i="7" s="1"/>
  <c r="H298" i="7" s="1"/>
  <c r="P297" i="7"/>
  <c r="E297" i="7" s="1"/>
  <c r="G297" i="7" s="1"/>
  <c r="H297" i="7" s="1"/>
  <c r="P296" i="7"/>
  <c r="E296" i="7" s="1"/>
  <c r="G296" i="7" s="1"/>
  <c r="H296" i="7" s="1"/>
  <c r="P295" i="7"/>
  <c r="E295" i="7" s="1"/>
  <c r="G295" i="7" s="1"/>
  <c r="H295" i="7" s="1"/>
  <c r="P294" i="7"/>
  <c r="E294" i="7" s="1"/>
  <c r="G294" i="7" s="1"/>
  <c r="H294" i="7" s="1"/>
  <c r="P293" i="7"/>
  <c r="E293" i="7" s="1"/>
  <c r="G293" i="7" s="1"/>
  <c r="H293" i="7" s="1"/>
  <c r="P292" i="7"/>
  <c r="E292" i="7" s="1"/>
  <c r="G292" i="7" s="1"/>
  <c r="H292" i="7" s="1"/>
  <c r="J291" i="7"/>
  <c r="P291" i="7" s="1"/>
  <c r="P290" i="7"/>
  <c r="E290" i="7" s="1"/>
  <c r="G290" i="7" s="1"/>
  <c r="H290" i="7" s="1"/>
  <c r="P289" i="7"/>
  <c r="E289" i="7" s="1"/>
  <c r="G289" i="7" s="1"/>
  <c r="H289" i="7" s="1"/>
  <c r="P288" i="7"/>
  <c r="E288" i="7" s="1"/>
  <c r="G288" i="7" s="1"/>
  <c r="H288" i="7" s="1"/>
  <c r="P287" i="7"/>
  <c r="E287" i="7" s="1"/>
  <c r="G287" i="7" s="1"/>
  <c r="H287" i="7" s="1"/>
  <c r="P286" i="7"/>
  <c r="E286" i="7" s="1"/>
  <c r="G286" i="7" s="1"/>
  <c r="H286" i="7" s="1"/>
  <c r="P285" i="7"/>
  <c r="E285" i="7" s="1"/>
  <c r="G285" i="7" s="1"/>
  <c r="H285" i="7" s="1"/>
  <c r="P284" i="7"/>
  <c r="E284" i="7" s="1"/>
  <c r="G284" i="7" s="1"/>
  <c r="H284" i="7" s="1"/>
  <c r="P283" i="7"/>
  <c r="E283" i="7" s="1"/>
  <c r="G283" i="7" s="1"/>
  <c r="H283" i="7" s="1"/>
  <c r="D282" i="7"/>
  <c r="P281" i="7"/>
  <c r="P280" i="7" s="1"/>
  <c r="E280" i="7" s="1"/>
  <c r="G280" i="7" s="1"/>
  <c r="H280" i="7" s="1"/>
  <c r="P279" i="7"/>
  <c r="P278" i="7"/>
  <c r="E278" i="7" s="1"/>
  <c r="G278" i="7" s="1"/>
  <c r="H278" i="7" s="1"/>
  <c r="F277" i="7"/>
  <c r="D277" i="7"/>
  <c r="P276" i="7"/>
  <c r="P275" i="7"/>
  <c r="P274" i="7"/>
  <c r="D272" i="7"/>
  <c r="P271" i="7"/>
  <c r="P270" i="7"/>
  <c r="P269" i="7"/>
  <c r="F267" i="7"/>
  <c r="D267" i="7"/>
  <c r="P266" i="7"/>
  <c r="P265" i="7"/>
  <c r="P264" i="7"/>
  <c r="P262" i="7"/>
  <c r="P261" i="7"/>
  <c r="P260" i="7"/>
  <c r="P259" i="7"/>
  <c r="P258" i="7"/>
  <c r="F256" i="7"/>
  <c r="D256" i="7"/>
  <c r="P255" i="7"/>
  <c r="H255" i="7"/>
  <c r="P254" i="7"/>
  <c r="P253" i="7"/>
  <c r="P252" i="7"/>
  <c r="P250" i="7"/>
  <c r="P249" i="7"/>
  <c r="P248" i="7"/>
  <c r="F246" i="7"/>
  <c r="D246" i="7"/>
  <c r="P245" i="7"/>
  <c r="P244" i="7"/>
  <c r="P242" i="7"/>
  <c r="P241" i="7"/>
  <c r="P240" i="7"/>
  <c r="P239" i="7"/>
  <c r="P238" i="7"/>
  <c r="P237" i="7" s="1"/>
  <c r="E237" i="7" s="1"/>
  <c r="F236" i="7"/>
  <c r="D236" i="7"/>
  <c r="P235" i="7"/>
  <c r="P234" i="7"/>
  <c r="P233" i="7"/>
  <c r="P232" i="7"/>
  <c r="P231" i="7"/>
  <c r="P230" i="7"/>
  <c r="P229" i="7"/>
  <c r="D227" i="7"/>
  <c r="P226" i="7"/>
  <c r="H226" i="7"/>
  <c r="G226" i="7"/>
  <c r="P225" i="7"/>
  <c r="G225" i="7"/>
  <c r="H225" i="7" s="1"/>
  <c r="P223" i="7"/>
  <c r="P222" i="7"/>
  <c r="H222" i="7"/>
  <c r="G222" i="7"/>
  <c r="F220" i="7"/>
  <c r="D220" i="7"/>
  <c r="P219" i="7"/>
  <c r="P218" i="7" s="1"/>
  <c r="E218" i="7" s="1"/>
  <c r="G218" i="7" s="1"/>
  <c r="H218" i="7" s="1"/>
  <c r="P217" i="7"/>
  <c r="P216" i="7"/>
  <c r="P215" i="7"/>
  <c r="P214" i="7"/>
  <c r="P213" i="7"/>
  <c r="G213" i="7"/>
  <c r="H213" i="7" s="1"/>
  <c r="F211" i="7"/>
  <c r="D211" i="7"/>
  <c r="P210" i="7"/>
  <c r="P209" i="7"/>
  <c r="P208" i="7"/>
  <c r="P206" i="7"/>
  <c r="P205" i="7"/>
  <c r="P203" i="7"/>
  <c r="P202" i="7" s="1"/>
  <c r="P201" i="7"/>
  <c r="P200" i="7"/>
  <c r="P198" i="7"/>
  <c r="P197" i="7"/>
  <c r="P196" i="7"/>
  <c r="P194" i="7"/>
  <c r="P193" i="7"/>
  <c r="P191" i="7"/>
  <c r="P190" i="7" s="1"/>
  <c r="P189" i="7"/>
  <c r="P188" i="7" s="1"/>
  <c r="P187" i="7"/>
  <c r="P186" i="7"/>
  <c r="P184" i="7"/>
  <c r="P183" i="7"/>
  <c r="P182" i="7" s="1"/>
  <c r="F180" i="7"/>
  <c r="D180" i="7"/>
  <c r="P179" i="7"/>
  <c r="P178" i="7" s="1"/>
  <c r="E178" i="7" s="1"/>
  <c r="G178" i="7" s="1"/>
  <c r="H178" i="7" s="1"/>
  <c r="P177" i="7"/>
  <c r="P176" i="7"/>
  <c r="P175" i="7"/>
  <c r="P174" i="7"/>
  <c r="P172" i="7"/>
  <c r="P170" i="7" s="1"/>
  <c r="E170" i="7" s="1"/>
  <c r="P171" i="7"/>
  <c r="G170" i="7"/>
  <c r="H170" i="7" s="1"/>
  <c r="P169" i="7"/>
  <c r="P168" i="7"/>
  <c r="P167" i="7"/>
  <c r="P166" i="7"/>
  <c r="P165" i="7"/>
  <c r="P164" i="7"/>
  <c r="P163" i="7"/>
  <c r="P162" i="7"/>
  <c r="F159" i="7"/>
  <c r="D159" i="7"/>
  <c r="P157" i="7"/>
  <c r="P156" i="7"/>
  <c r="P155" i="7"/>
  <c r="P153" i="7"/>
  <c r="P152" i="7" s="1"/>
  <c r="E152" i="7" s="1"/>
  <c r="G152" i="7" s="1"/>
  <c r="H152" i="7" s="1"/>
  <c r="P151" i="7"/>
  <c r="P150" i="7"/>
  <c r="P148" i="7"/>
  <c r="P147" i="7" s="1"/>
  <c r="P146" i="7"/>
  <c r="P145" i="7"/>
  <c r="P144" i="7"/>
  <c r="P143" i="7"/>
  <c r="P142" i="7"/>
  <c r="P141" i="7"/>
  <c r="P139" i="7"/>
  <c r="P138" i="7"/>
  <c r="P137" i="7"/>
  <c r="P135" i="7"/>
  <c r="P134" i="7"/>
  <c r="D131" i="7"/>
  <c r="P130" i="7"/>
  <c r="G130" i="7"/>
  <c r="H130" i="7" s="1"/>
  <c r="P129" i="7"/>
  <c r="G129" i="7"/>
  <c r="H129" i="7" s="1"/>
  <c r="P127" i="7"/>
  <c r="P126" i="7"/>
  <c r="P124" i="7"/>
  <c r="P123" i="7"/>
  <c r="P122" i="7"/>
  <c r="P120" i="7"/>
  <c r="P119" i="7"/>
  <c r="P118" i="7"/>
  <c r="G118" i="7"/>
  <c r="H118" i="7" s="1"/>
  <c r="P116" i="7"/>
  <c r="P114" i="7" s="1"/>
  <c r="E114" i="7" s="1"/>
  <c r="G114" i="7" s="1"/>
  <c r="H114" i="7" s="1"/>
  <c r="F113" i="7"/>
  <c r="D113" i="7"/>
  <c r="P112" i="7"/>
  <c r="P111" i="7" s="1"/>
  <c r="E111" i="7" s="1"/>
  <c r="G111" i="7" s="1"/>
  <c r="H111" i="7" s="1"/>
  <c r="P109" i="7"/>
  <c r="P108" i="7"/>
  <c r="P107" i="7"/>
  <c r="P106" i="7"/>
  <c r="P105" i="7"/>
  <c r="P103" i="7"/>
  <c r="P102" i="7" s="1"/>
  <c r="E102" i="7" s="1"/>
  <c r="G102" i="7" s="1"/>
  <c r="H102" i="7" s="1"/>
  <c r="P101" i="7"/>
  <c r="G101" i="7"/>
  <c r="H101" i="7" s="1"/>
  <c r="P100" i="7"/>
  <c r="P99" i="7"/>
  <c r="P98" i="7"/>
  <c r="G98" i="7"/>
  <c r="H98" i="7" s="1"/>
  <c r="P96" i="7"/>
  <c r="P95" i="7"/>
  <c r="P94" i="7" s="1"/>
  <c r="G95" i="7"/>
  <c r="H95" i="7" s="1"/>
  <c r="P93" i="7"/>
  <c r="G93" i="7"/>
  <c r="H93" i="7" s="1"/>
  <c r="P92" i="7"/>
  <c r="P91" i="7"/>
  <c r="P90" i="7"/>
  <c r="P89" i="7"/>
  <c r="F87" i="7"/>
  <c r="D87" i="7"/>
  <c r="P85" i="7"/>
  <c r="P84" i="7" s="1"/>
  <c r="P83" i="7"/>
  <c r="P82" i="7"/>
  <c r="P81" i="7" s="1"/>
  <c r="E81" i="7" s="1"/>
  <c r="G81" i="7" s="1"/>
  <c r="H81" i="7" s="1"/>
  <c r="P80" i="7"/>
  <c r="P79" i="7" s="1"/>
  <c r="E79" i="7" s="1"/>
  <c r="F78" i="7"/>
  <c r="D78" i="7"/>
  <c r="P77" i="7"/>
  <c r="P75" i="7" s="1"/>
  <c r="E75" i="7" s="1"/>
  <c r="G75" i="7" s="1"/>
  <c r="H75" i="7" s="1"/>
  <c r="G77" i="7"/>
  <c r="H77" i="7" s="1"/>
  <c r="P76" i="7"/>
  <c r="H76" i="7"/>
  <c r="G76" i="7"/>
  <c r="P74" i="7"/>
  <c r="P73" i="7"/>
  <c r="P72" i="7"/>
  <c r="P70" i="7"/>
  <c r="P69" i="7"/>
  <c r="P67" i="7" s="1"/>
  <c r="E67" i="7" s="1"/>
  <c r="G67" i="7" s="1"/>
  <c r="H67" i="7" s="1"/>
  <c r="P66" i="7"/>
  <c r="P65" i="7"/>
  <c r="P64" i="7"/>
  <c r="P62" i="7"/>
  <c r="G62" i="7"/>
  <c r="H62" i="7" s="1"/>
  <c r="P61" i="7"/>
  <c r="G61" i="7"/>
  <c r="H61" i="7" s="1"/>
  <c r="P60" i="7"/>
  <c r="P59" i="7" s="1"/>
  <c r="E59" i="7" s="1"/>
  <c r="G59" i="7" s="1"/>
  <c r="H59" i="7" s="1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H48" i="7"/>
  <c r="G48" i="7"/>
  <c r="P47" i="7"/>
  <c r="P46" i="7"/>
  <c r="H46" i="7"/>
  <c r="G46" i="7"/>
  <c r="P45" i="7"/>
  <c r="P44" i="7"/>
  <c r="H44" i="7"/>
  <c r="G44" i="7"/>
  <c r="P42" i="7"/>
  <c r="P41" i="7"/>
  <c r="P39" i="7"/>
  <c r="G39" i="7"/>
  <c r="H39" i="7" s="1"/>
  <c r="P38" i="7"/>
  <c r="P37" i="7" s="1"/>
  <c r="E37" i="7" s="1"/>
  <c r="G38" i="7"/>
  <c r="H38" i="7" s="1"/>
  <c r="F36" i="7"/>
  <c r="D36" i="7"/>
  <c r="P35" i="7"/>
  <c r="P34" i="7"/>
  <c r="P33" i="7"/>
  <c r="P32" i="7"/>
  <c r="P31" i="7"/>
  <c r="P30" i="7"/>
  <c r="G28" i="7"/>
  <c r="H28" i="7" s="1"/>
  <c r="G27" i="7"/>
  <c r="H27" i="7" s="1"/>
  <c r="H26" i="7"/>
  <c r="G26" i="7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D6" i="7" s="1"/>
  <c r="P115" i="6"/>
  <c r="G115" i="6"/>
  <c r="H115" i="6" s="1"/>
  <c r="P114" i="6"/>
  <c r="P113" i="6"/>
  <c r="P112" i="6"/>
  <c r="H112" i="6"/>
  <c r="P110" i="6"/>
  <c r="E110" i="6" s="1"/>
  <c r="G110" i="6" s="1"/>
  <c r="H110" i="6" s="1"/>
  <c r="P109" i="6"/>
  <c r="E109" i="6" s="1"/>
  <c r="D108" i="6"/>
  <c r="D107" i="6" s="1"/>
  <c r="F107" i="6"/>
  <c r="P106" i="6"/>
  <c r="E106" i="6" s="1"/>
  <c r="G106" i="6" s="1"/>
  <c r="H106" i="6" s="1"/>
  <c r="P105" i="6"/>
  <c r="E105" i="6" s="1"/>
  <c r="G105" i="6"/>
  <c r="H105" i="6" s="1"/>
  <c r="P104" i="6"/>
  <c r="E104" i="6" s="1"/>
  <c r="F103" i="6"/>
  <c r="D102" i="6"/>
  <c r="F102" i="6"/>
  <c r="P101" i="6"/>
  <c r="H101" i="6"/>
  <c r="P100" i="6"/>
  <c r="P99" i="6" s="1"/>
  <c r="E99" i="6" s="1"/>
  <c r="G99" i="6" s="1"/>
  <c r="P98" i="6"/>
  <c r="G98" i="6"/>
  <c r="H98" i="6" s="1"/>
  <c r="P97" i="6"/>
  <c r="P95" i="6"/>
  <c r="H95" i="6"/>
  <c r="P94" i="6"/>
  <c r="P92" i="6"/>
  <c r="P91" i="6"/>
  <c r="P90" i="6"/>
  <c r="P88" i="6"/>
  <c r="G88" i="6"/>
  <c r="H88" i="6" s="1"/>
  <c r="P87" i="6"/>
  <c r="P86" i="6" s="1"/>
  <c r="P85" i="6"/>
  <c r="H85" i="6"/>
  <c r="P84" i="6"/>
  <c r="P83" i="6" s="1"/>
  <c r="E83" i="6" s="1"/>
  <c r="G83" i="6" s="1"/>
  <c r="H83" i="6" s="1"/>
  <c r="P82" i="6"/>
  <c r="G82" i="6"/>
  <c r="P81" i="6"/>
  <c r="P80" i="6" s="1"/>
  <c r="G81" i="6"/>
  <c r="F79" i="6"/>
  <c r="D79" i="6"/>
  <c r="D78" i="6" s="1"/>
  <c r="F78" i="6"/>
  <c r="P77" i="6"/>
  <c r="P76" i="6"/>
  <c r="H76" i="6"/>
  <c r="P75" i="6"/>
  <c r="P74" i="6"/>
  <c r="P73" i="6"/>
  <c r="P72" i="6"/>
  <c r="H72" i="6"/>
  <c r="P71" i="6"/>
  <c r="G71" i="6"/>
  <c r="H71" i="6" s="1"/>
  <c r="P69" i="6"/>
  <c r="P68" i="6"/>
  <c r="P67" i="6"/>
  <c r="G67" i="6"/>
  <c r="F65" i="6"/>
  <c r="D65" i="6"/>
  <c r="P64" i="6"/>
  <c r="P63" i="6"/>
  <c r="P62" i="6"/>
  <c r="P61" i="6"/>
  <c r="P59" i="6"/>
  <c r="P58" i="6"/>
  <c r="P57" i="6"/>
  <c r="P56" i="6"/>
  <c r="P55" i="6"/>
  <c r="P53" i="6"/>
  <c r="P52" i="6"/>
  <c r="P51" i="6"/>
  <c r="P50" i="6"/>
  <c r="P48" i="6"/>
  <c r="P47" i="6" s="1"/>
  <c r="F46" i="6"/>
  <c r="D46" i="6"/>
  <c r="D45" i="6" s="1"/>
  <c r="F45" i="6"/>
  <c r="P44" i="6"/>
  <c r="P42" i="6" s="1"/>
  <c r="E42" i="6" s="1"/>
  <c r="P43" i="6"/>
  <c r="F41" i="6"/>
  <c r="F40" i="6" s="1"/>
  <c r="D41" i="6"/>
  <c r="D40" i="6"/>
  <c r="P39" i="6"/>
  <c r="F38" i="6"/>
  <c r="F37" i="6" s="1"/>
  <c r="D38" i="6"/>
  <c r="D37" i="6"/>
  <c r="P36" i="6"/>
  <c r="O36" i="6"/>
  <c r="P35" i="6"/>
  <c r="P34" i="6"/>
  <c r="P33" i="6"/>
  <c r="P32" i="6"/>
  <c r="P31" i="6"/>
  <c r="P30" i="6"/>
  <c r="O30" i="6"/>
  <c r="P29" i="6"/>
  <c r="P28" i="6"/>
  <c r="P27" i="6"/>
  <c r="P26" i="6"/>
  <c r="P25" i="6"/>
  <c r="D23" i="6"/>
  <c r="D22" i="6" s="1"/>
  <c r="P21" i="6"/>
  <c r="P20" i="6" s="1"/>
  <c r="E20" i="6" s="1"/>
  <c r="P19" i="6"/>
  <c r="P18" i="6"/>
  <c r="P17" i="6"/>
  <c r="P15" i="6"/>
  <c r="P14" i="6"/>
  <c r="P13" i="6"/>
  <c r="P12" i="6"/>
  <c r="P11" i="6"/>
  <c r="P10" i="6"/>
  <c r="F8" i="6"/>
  <c r="D8" i="6"/>
  <c r="D7" i="6" s="1"/>
  <c r="F7" i="6"/>
  <c r="F6" i="6"/>
  <c r="P9" i="6" l="1"/>
  <c r="E9" i="6" s="1"/>
  <c r="P49" i="6"/>
  <c r="E49" i="6" s="1"/>
  <c r="G49" i="6" s="1"/>
  <c r="H49" i="6" s="1"/>
  <c r="P54" i="6"/>
  <c r="E54" i="6" s="1"/>
  <c r="G54" i="6" s="1"/>
  <c r="H54" i="6" s="1"/>
  <c r="P96" i="6"/>
  <c r="E96" i="6" s="1"/>
  <c r="G96" i="6" s="1"/>
  <c r="E80" i="6"/>
  <c r="G80" i="6" s="1"/>
  <c r="H80" i="6" s="1"/>
  <c r="P79" i="6"/>
  <c r="E103" i="6"/>
  <c r="P16" i="6"/>
  <c r="G391" i="7"/>
  <c r="H391" i="7" s="1"/>
  <c r="F391" i="7"/>
  <c r="P43" i="7"/>
  <c r="E43" i="7" s="1"/>
  <c r="G43" i="7" s="1"/>
  <c r="H43" i="7" s="1"/>
  <c r="D86" i="7"/>
  <c r="P97" i="7"/>
  <c r="E97" i="7" s="1"/>
  <c r="G97" i="7" s="1"/>
  <c r="H97" i="7" s="1"/>
  <c r="P133" i="7"/>
  <c r="P221" i="7"/>
  <c r="E221" i="7" s="1"/>
  <c r="F6" i="7"/>
  <c r="P88" i="7"/>
  <c r="E88" i="7" s="1"/>
  <c r="G88" i="7" s="1"/>
  <c r="H88" i="7" s="1"/>
  <c r="P121" i="7"/>
  <c r="E121" i="7" s="1"/>
  <c r="G121" i="7" s="1"/>
  <c r="H121" i="7" s="1"/>
  <c r="P136" i="7"/>
  <c r="P192" i="7"/>
  <c r="P199" i="7"/>
  <c r="P388" i="7"/>
  <c r="P384" i="7"/>
  <c r="E384" i="7" s="1"/>
  <c r="P251" i="7"/>
  <c r="E251" i="7" s="1"/>
  <c r="G251" i="7" s="1"/>
  <c r="H251" i="7" s="1"/>
  <c r="G344" i="7"/>
  <c r="H344" i="7" s="1"/>
  <c r="G350" i="7"/>
  <c r="H350" i="7" s="1"/>
  <c r="G355" i="7"/>
  <c r="H355" i="7" s="1"/>
  <c r="G360" i="7"/>
  <c r="H360" i="7" s="1"/>
  <c r="G367" i="7"/>
  <c r="H367" i="7" s="1"/>
  <c r="G372" i="7"/>
  <c r="H372" i="7" s="1"/>
  <c r="G377" i="7"/>
  <c r="H377" i="7" s="1"/>
  <c r="G392" i="7"/>
  <c r="H392" i="7" s="1"/>
  <c r="F392" i="7"/>
  <c r="G346" i="7"/>
  <c r="H346" i="7" s="1"/>
  <c r="G351" i="7"/>
  <c r="H351" i="7" s="1"/>
  <c r="G362" i="7"/>
  <c r="H362" i="7" s="1"/>
  <c r="G368" i="7"/>
  <c r="H368" i="7" s="1"/>
  <c r="G379" i="7"/>
  <c r="H379" i="7" s="1"/>
  <c r="D6" i="6"/>
  <c r="F23" i="6"/>
  <c r="F22" i="6" s="1"/>
  <c r="D5" i="7"/>
  <c r="P52" i="7"/>
  <c r="G342" i="7"/>
  <c r="H342" i="7" s="1"/>
  <c r="G352" i="7"/>
  <c r="H352" i="7" s="1"/>
  <c r="G358" i="7"/>
  <c r="H358" i="7" s="1"/>
  <c r="G369" i="7"/>
  <c r="H369" i="7" s="1"/>
  <c r="G375" i="7"/>
  <c r="H375" i="7" s="1"/>
  <c r="E39" i="6"/>
  <c r="P38" i="6"/>
  <c r="P37" i="6" s="1"/>
  <c r="P41" i="6"/>
  <c r="P40" i="6" s="1"/>
  <c r="P60" i="6"/>
  <c r="E60" i="6" s="1"/>
  <c r="G343" i="7"/>
  <c r="H343" i="7" s="1"/>
  <c r="G348" i="7"/>
  <c r="H348" i="7" s="1"/>
  <c r="G359" i="7"/>
  <c r="H359" i="7" s="1"/>
  <c r="G364" i="7"/>
  <c r="H364" i="7" s="1"/>
  <c r="G376" i="7"/>
  <c r="H376" i="7" s="1"/>
  <c r="G381" i="7"/>
  <c r="H381" i="7" s="1"/>
  <c r="F395" i="7"/>
  <c r="G395" i="7"/>
  <c r="H395" i="7" s="1"/>
  <c r="P66" i="6"/>
  <c r="P93" i="6"/>
  <c r="E93" i="6" s="1"/>
  <c r="P128" i="7"/>
  <c r="P204" i="7"/>
  <c r="P212" i="7"/>
  <c r="P224" i="7"/>
  <c r="P243" i="7"/>
  <c r="E243" i="7" s="1"/>
  <c r="P247" i="7"/>
  <c r="E247" i="7" s="1"/>
  <c r="P70" i="6"/>
  <c r="E70" i="6" s="1"/>
  <c r="P89" i="6"/>
  <c r="E89" i="6" s="1"/>
  <c r="P103" i="6"/>
  <c r="P102" i="6" s="1"/>
  <c r="P111" i="6"/>
  <c r="E111" i="6" s="1"/>
  <c r="P8" i="7"/>
  <c r="P13" i="7"/>
  <c r="J27" i="7" s="1"/>
  <c r="P63" i="7"/>
  <c r="P49" i="7" s="1"/>
  <c r="F86" i="7"/>
  <c r="F5" i="7" s="1"/>
  <c r="P149" i="7"/>
  <c r="E149" i="7" s="1"/>
  <c r="P154" i="7"/>
  <c r="E154" i="7" s="1"/>
  <c r="P195" i="7"/>
  <c r="P207" i="7"/>
  <c r="E207" i="7" s="1"/>
  <c r="P268" i="7"/>
  <c r="P29" i="7"/>
  <c r="P40" i="7"/>
  <c r="P140" i="7"/>
  <c r="P173" i="7"/>
  <c r="E173" i="7" s="1"/>
  <c r="P228" i="7"/>
  <c r="P227" i="7" s="1"/>
  <c r="E227" i="7" s="1"/>
  <c r="G227" i="7" s="1"/>
  <c r="H227" i="7" s="1"/>
  <c r="P273" i="7"/>
  <c r="P24" i="6"/>
  <c r="E24" i="6" s="1"/>
  <c r="P104" i="7"/>
  <c r="E104" i="7" s="1"/>
  <c r="G104" i="7" s="1"/>
  <c r="H104" i="7" s="1"/>
  <c r="G20" i="6"/>
  <c r="H20" i="6" s="1"/>
  <c r="E16" i="6"/>
  <c r="P8" i="6"/>
  <c r="P7" i="6" s="1"/>
  <c r="G42" i="6"/>
  <c r="H42" i="6" s="1"/>
  <c r="E41" i="6"/>
  <c r="G9" i="6"/>
  <c r="H9" i="6" s="1"/>
  <c r="E8" i="6"/>
  <c r="E50" i="7"/>
  <c r="E94" i="7"/>
  <c r="G94" i="7" s="1"/>
  <c r="H94" i="7" s="1"/>
  <c r="E236" i="7"/>
  <c r="G236" i="7" s="1"/>
  <c r="H236" i="7" s="1"/>
  <c r="G237" i="7"/>
  <c r="H237" i="7" s="1"/>
  <c r="E38" i="6"/>
  <c r="G39" i="6"/>
  <c r="P65" i="6"/>
  <c r="E66" i="6"/>
  <c r="G37" i="7"/>
  <c r="H37" i="7" s="1"/>
  <c r="P132" i="7"/>
  <c r="E212" i="7"/>
  <c r="P211" i="7"/>
  <c r="P246" i="7"/>
  <c r="G109" i="6"/>
  <c r="H109" i="6" s="1"/>
  <c r="P108" i="6"/>
  <c r="P107" i="6" s="1"/>
  <c r="G79" i="7"/>
  <c r="H79" i="7" s="1"/>
  <c r="P46" i="6"/>
  <c r="E47" i="6"/>
  <c r="E86" i="6"/>
  <c r="G104" i="6"/>
  <c r="H104" i="6" s="1"/>
  <c r="E40" i="7"/>
  <c r="P78" i="7"/>
  <c r="E84" i="7"/>
  <c r="E78" i="7" s="1"/>
  <c r="G78" i="7" s="1"/>
  <c r="H78" i="7" s="1"/>
  <c r="P117" i="7"/>
  <c r="P125" i="7"/>
  <c r="E291" i="7"/>
  <c r="P282" i="7"/>
  <c r="E282" i="7" s="1"/>
  <c r="G282" i="7" s="1"/>
  <c r="H282" i="7" s="1"/>
  <c r="G384" i="7"/>
  <c r="H384" i="7" s="1"/>
  <c r="E388" i="7"/>
  <c r="P383" i="7"/>
  <c r="P263" i="7"/>
  <c r="E277" i="7"/>
  <c r="G277" i="7" s="1"/>
  <c r="H277" i="7" s="1"/>
  <c r="E228" i="7"/>
  <c r="P236" i="7"/>
  <c r="P161" i="7"/>
  <c r="P160" i="7" s="1"/>
  <c r="P185" i="7"/>
  <c r="G221" i="7"/>
  <c r="H221" i="7" s="1"/>
  <c r="P257" i="7"/>
  <c r="P277" i="7"/>
  <c r="G394" i="7"/>
  <c r="H394" i="7" s="1"/>
  <c r="F393" i="7"/>
  <c r="P181" i="7" l="1"/>
  <c r="P180" i="7" s="1"/>
  <c r="P36" i="7"/>
  <c r="G149" i="7"/>
  <c r="H149" i="7" s="1"/>
  <c r="G93" i="6"/>
  <c r="E8" i="7"/>
  <c r="G8" i="7" s="1"/>
  <c r="H8" i="7" s="1"/>
  <c r="G207" i="7"/>
  <c r="H207" i="7" s="1"/>
  <c r="P220" i="7"/>
  <c r="E224" i="7"/>
  <c r="P113" i="7"/>
  <c r="E113" i="7" s="1"/>
  <c r="G113" i="7" s="1"/>
  <c r="H113" i="7" s="1"/>
  <c r="P45" i="6"/>
  <c r="J22" i="7"/>
  <c r="P22" i="7" s="1"/>
  <c r="P21" i="7" s="1"/>
  <c r="E21" i="7" s="1"/>
  <c r="P272" i="7"/>
  <c r="E273" i="7"/>
  <c r="E63" i="7"/>
  <c r="E52" i="7"/>
  <c r="G52" i="7" s="1"/>
  <c r="H52" i="7" s="1"/>
  <c r="G173" i="7"/>
  <c r="H173" i="7" s="1"/>
  <c r="P267" i="7"/>
  <c r="E268" i="7"/>
  <c r="G70" i="6"/>
  <c r="H70" i="6" s="1"/>
  <c r="E87" i="7"/>
  <c r="J24" i="7"/>
  <c r="J25" i="7" s="1"/>
  <c r="P25" i="7" s="1"/>
  <c r="J26" i="7" s="1"/>
  <c r="P26" i="7" s="1"/>
  <c r="P87" i="7"/>
  <c r="E29" i="7"/>
  <c r="G29" i="7" s="1"/>
  <c r="H29" i="7" s="1"/>
  <c r="G154" i="7"/>
  <c r="H154" i="7" s="1"/>
  <c r="E13" i="7"/>
  <c r="G13" i="7" s="1"/>
  <c r="H13" i="7" s="1"/>
  <c r="G89" i="6"/>
  <c r="H89" i="6" s="1"/>
  <c r="G243" i="7"/>
  <c r="H243" i="7" s="1"/>
  <c r="E128" i="7"/>
  <c r="G128" i="7" s="1"/>
  <c r="H128" i="7" s="1"/>
  <c r="G60" i="6"/>
  <c r="H60" i="6" s="1"/>
  <c r="P23" i="6"/>
  <c r="P22" i="6" s="1"/>
  <c r="G103" i="6"/>
  <c r="H103" i="6" s="1"/>
  <c r="E102" i="6"/>
  <c r="G102" i="6" s="1"/>
  <c r="H102" i="6" s="1"/>
  <c r="G212" i="7"/>
  <c r="H212" i="7" s="1"/>
  <c r="E211" i="7"/>
  <c r="G211" i="7" s="1"/>
  <c r="H211" i="7" s="1"/>
  <c r="E65" i="6"/>
  <c r="G65" i="6" s="1"/>
  <c r="H65" i="6" s="1"/>
  <c r="G66" i="6"/>
  <c r="H66" i="6" s="1"/>
  <c r="G8" i="6"/>
  <c r="H8" i="6" s="1"/>
  <c r="E7" i="6"/>
  <c r="G41" i="6"/>
  <c r="H41" i="6" s="1"/>
  <c r="E40" i="6"/>
  <c r="G40" i="6" s="1"/>
  <c r="H40" i="6" s="1"/>
  <c r="G16" i="6"/>
  <c r="H16" i="6" s="1"/>
  <c r="G388" i="7"/>
  <c r="H388" i="7" s="1"/>
  <c r="G291" i="7"/>
  <c r="H291" i="7" s="1"/>
  <c r="G40" i="7"/>
  <c r="H40" i="7" s="1"/>
  <c r="E79" i="6"/>
  <c r="P78" i="6"/>
  <c r="G111" i="6"/>
  <c r="H111" i="6" s="1"/>
  <c r="P131" i="7"/>
  <c r="E131" i="7" s="1"/>
  <c r="E132" i="7"/>
  <c r="P256" i="7"/>
  <c r="E257" i="7"/>
  <c r="E383" i="7"/>
  <c r="G383" i="7" s="1"/>
  <c r="H383" i="7" s="1"/>
  <c r="G86" i="6"/>
  <c r="H86" i="6" s="1"/>
  <c r="P27" i="7"/>
  <c r="J28" i="7"/>
  <c r="P28" i="7" s="1"/>
  <c r="G247" i="7"/>
  <c r="H247" i="7" s="1"/>
  <c r="E246" i="7"/>
  <c r="G246" i="7" s="1"/>
  <c r="H246" i="7" s="1"/>
  <c r="E23" i="6"/>
  <c r="G24" i="6"/>
  <c r="H24" i="6" s="1"/>
  <c r="E117" i="7"/>
  <c r="G117" i="7" s="1"/>
  <c r="H117" i="7" s="1"/>
  <c r="E160" i="7"/>
  <c r="P159" i="7"/>
  <c r="G228" i="7"/>
  <c r="H228" i="7" s="1"/>
  <c r="E263" i="7"/>
  <c r="G263" i="7" s="1"/>
  <c r="H263" i="7" s="1"/>
  <c r="E125" i="7"/>
  <c r="G125" i="7" s="1"/>
  <c r="H125" i="7" s="1"/>
  <c r="G84" i="7"/>
  <c r="H84" i="7" s="1"/>
  <c r="E46" i="6"/>
  <c r="G47" i="6"/>
  <c r="H47" i="6" s="1"/>
  <c r="E108" i="6"/>
  <c r="E36" i="7"/>
  <c r="G36" i="7" s="1"/>
  <c r="H36" i="7" s="1"/>
  <c r="G38" i="6"/>
  <c r="E37" i="6"/>
  <c r="G37" i="6" s="1"/>
  <c r="G50" i="7"/>
  <c r="H50" i="7" s="1"/>
  <c r="P6" i="6" l="1"/>
  <c r="E181" i="7"/>
  <c r="G87" i="7"/>
  <c r="H87" i="7" s="1"/>
  <c r="G131" i="7"/>
  <c r="H131" i="7" s="1"/>
  <c r="G63" i="7"/>
  <c r="H63" i="7" s="1"/>
  <c r="E49" i="7"/>
  <c r="P24" i="7"/>
  <c r="P23" i="7" s="1"/>
  <c r="G21" i="7"/>
  <c r="H21" i="7" s="1"/>
  <c r="G268" i="7"/>
  <c r="H268" i="7" s="1"/>
  <c r="E267" i="7"/>
  <c r="G267" i="7" s="1"/>
  <c r="H267" i="7" s="1"/>
  <c r="G273" i="7"/>
  <c r="H273" i="7" s="1"/>
  <c r="E272" i="7"/>
  <c r="G272" i="7" s="1"/>
  <c r="H272" i="7" s="1"/>
  <c r="G224" i="7"/>
  <c r="H224" i="7" s="1"/>
  <c r="E220" i="7"/>
  <c r="G220" i="7" s="1"/>
  <c r="H220" i="7" s="1"/>
  <c r="E107" i="6"/>
  <c r="G108" i="6"/>
  <c r="G46" i="6"/>
  <c r="H46" i="6" s="1"/>
  <c r="E45" i="6"/>
  <c r="G45" i="6" s="1"/>
  <c r="H45" i="6" s="1"/>
  <c r="P86" i="7"/>
  <c r="G79" i="6"/>
  <c r="H79" i="6" s="1"/>
  <c r="E78" i="6"/>
  <c r="G78" i="6" s="1"/>
  <c r="H78" i="6" s="1"/>
  <c r="G23" i="6"/>
  <c r="H23" i="6" s="1"/>
  <c r="E22" i="6"/>
  <c r="G22" i="6" s="1"/>
  <c r="H22" i="6" s="1"/>
  <c r="E256" i="7"/>
  <c r="G256" i="7" s="1"/>
  <c r="H256" i="7" s="1"/>
  <c r="G257" i="7"/>
  <c r="H257" i="7" s="1"/>
  <c r="G132" i="7"/>
  <c r="H132" i="7" s="1"/>
  <c r="G7" i="6"/>
  <c r="H7" i="6" s="1"/>
  <c r="E180" i="7"/>
  <c r="G180" i="7" s="1"/>
  <c r="H180" i="7" s="1"/>
  <c r="G181" i="7"/>
  <c r="H181" i="7" s="1"/>
  <c r="G160" i="7"/>
  <c r="H160" i="7" s="1"/>
  <c r="E159" i="7"/>
  <c r="G159" i="7" s="1"/>
  <c r="H159" i="7" s="1"/>
  <c r="E86" i="7" l="1"/>
  <c r="G49" i="7"/>
  <c r="H49" i="7" s="1"/>
  <c r="E6" i="6"/>
  <c r="G6" i="6" s="1"/>
  <c r="H6" i="6" s="1"/>
  <c r="E23" i="7"/>
  <c r="P7" i="7"/>
  <c r="P6" i="7" s="1"/>
  <c r="P5" i="7" s="1"/>
  <c r="G107" i="6"/>
  <c r="H107" i="6" s="1"/>
  <c r="H108" i="6"/>
  <c r="G86" i="7"/>
  <c r="H86" i="7" s="1"/>
  <c r="G23" i="7" l="1"/>
  <c r="H23" i="7" s="1"/>
  <c r="E7" i="7"/>
  <c r="E6" i="7" s="1"/>
  <c r="G7" i="7" l="1"/>
  <c r="H7" i="7" s="1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<sst xmlns="http://schemas.openxmlformats.org/spreadsheetml/2006/main" count="2843" uniqueCount="572">
  <si>
    <t>장애인의날행사비 5,000천원+바오로교실기능보강 4,000천원</t>
  </si>
  <si>
    <t>제2조 1. 세입ㆍ세출의 명세는 세입ㆍ세출 예산서와 같다.</t>
  </si>
  <si>
    <t>교육사업</t>
  </si>
  <si>
    <t>기타추진비</t>
  </si>
  <si>
    <t>소  계</t>
  </si>
  <si>
    <t xml:space="preserve">제1조 </t>
  </si>
  <si>
    <t>기관운영비</t>
  </si>
  <si>
    <t>재산수입</t>
  </si>
  <si>
    <t>諸유지보수비</t>
  </si>
  <si>
    <t>홍보출판</t>
  </si>
  <si>
    <t>모금사업</t>
  </si>
  <si>
    <t>총  계</t>
  </si>
  <si>
    <t>인터넷사용료</t>
  </si>
  <si>
    <t>제세공과금</t>
  </si>
  <si>
    <t>시설전출금</t>
  </si>
  <si>
    <t>전례준비비</t>
  </si>
  <si>
    <t>차량유지비</t>
  </si>
  <si>
    <t>선교200주년</t>
  </si>
  <si>
    <t>임대수입</t>
  </si>
  <si>
    <t>부채상환금</t>
  </si>
  <si>
    <t>종사자
교육비</t>
  </si>
  <si>
    <t>기타후생비</t>
  </si>
  <si>
    <t>대외협력사업</t>
  </si>
  <si>
    <t>정근수당</t>
  </si>
  <si>
    <t>과년도수입</t>
  </si>
  <si>
    <t>본인대학학자금</t>
  </si>
  <si>
    <t>사업관리</t>
  </si>
  <si>
    <t>예금이자수입</t>
  </si>
  <si>
    <t>재해복구비</t>
  </si>
  <si>
    <t>성모영보장학회</t>
  </si>
  <si>
    <t>말가리다장학회</t>
  </si>
  <si>
    <t>기타잡수입</t>
  </si>
  <si>
    <t>우편물발송비</t>
  </si>
  <si>
    <t>공공요금</t>
  </si>
  <si>
    <t>이사회 회의비</t>
  </si>
  <si>
    <t>증감(B-A)</t>
  </si>
  <si>
    <t>자산취득비</t>
  </si>
  <si>
    <t>후원자관리</t>
  </si>
  <si>
    <t>모금관리</t>
  </si>
  <si>
    <t>특별지원사업</t>
  </si>
  <si>
    <t>5) 후원금</t>
  </si>
  <si>
    <t>장학금 지급</t>
  </si>
  <si>
    <t>기타교구전입금</t>
  </si>
  <si>
    <t>교육자문위원회</t>
  </si>
  <si>
    <t>지정후원금</t>
  </si>
  <si>
    <t>보미나어린이집</t>
  </si>
  <si>
    <t>보조금수입</t>
  </si>
  <si>
    <t>송화어린이집</t>
  </si>
  <si>
    <t xml:space="preserve">보조금 </t>
  </si>
  <si>
    <t>차년도이월금</t>
  </si>
  <si>
    <t>도곡어린이집</t>
  </si>
  <si>
    <t>지역사회모금</t>
  </si>
  <si>
    <t>재산세 등</t>
  </si>
  <si>
    <t xml:space="preserve">기본재산 </t>
  </si>
  <si>
    <t>비지정후원금</t>
  </si>
  <si>
    <t>해뜨락어린이집</t>
  </si>
  <si>
    <t>1) 재산수입</t>
  </si>
  <si>
    <t>기타수수료</t>
  </si>
  <si>
    <t>법인재산관리비</t>
  </si>
  <si>
    <t>지정후원예비비</t>
  </si>
  <si>
    <t>지정후원이월금</t>
  </si>
  <si>
    <t>6) 상환금</t>
  </si>
  <si>
    <t>강서푸드마켓</t>
  </si>
  <si>
    <t>본당모금사업</t>
  </si>
  <si>
    <t>한마음지원금</t>
  </si>
  <si>
    <t>목동어린이집</t>
  </si>
  <si>
    <t>원당어린이집</t>
  </si>
  <si>
    <t>퇴직연금</t>
  </si>
  <si>
    <t>기타보조금수입</t>
  </si>
  <si>
    <t>1) 사무비</t>
  </si>
  <si>
    <t>한빛어린이집</t>
  </si>
  <si>
    <t>3) 사업비</t>
  </si>
  <si>
    <t>지원사업</t>
  </si>
  <si>
    <t>교구2차헌금</t>
  </si>
  <si>
    <t>기타예비비</t>
  </si>
  <si>
    <t>운영위원회의</t>
  </si>
  <si>
    <t>지로후원</t>
  </si>
  <si>
    <t>성동노인복지관</t>
  </si>
  <si>
    <t>5) 잡지출</t>
  </si>
  <si>
    <t>방배어린이집</t>
  </si>
  <si>
    <t>마천어린이집</t>
  </si>
  <si>
    <t xml:space="preserve">제5조 </t>
  </si>
  <si>
    <t>공모사업지원금</t>
  </si>
  <si>
    <t>국민연금</t>
  </si>
  <si>
    <t>금천노인복지관</t>
  </si>
  <si>
    <t>산재보험</t>
  </si>
  <si>
    <t>해그린어린이집</t>
  </si>
  <si>
    <t>금전출납</t>
  </si>
  <si>
    <t>자부담이월금</t>
  </si>
  <si>
    <t>연화어린이집</t>
  </si>
  <si>
    <t>요안나장학회</t>
  </si>
  <si>
    <t>소모품비</t>
  </si>
  <si>
    <t>2) 사업수입</t>
  </si>
  <si>
    <t>교육사업수입</t>
  </si>
  <si>
    <t>유락종합복지관</t>
  </si>
  <si>
    <t>동작종합복지관</t>
  </si>
  <si>
    <t>장학금지급</t>
  </si>
  <si>
    <t>정기업무점검</t>
  </si>
  <si>
    <t>직책보조비</t>
  </si>
  <si>
    <t>해든어린이집</t>
  </si>
  <si>
    <t>8) 잡수입</t>
  </si>
  <si>
    <t>3) 보조금</t>
  </si>
  <si>
    <t>기타재산수입</t>
  </si>
  <si>
    <t>4) 전입금</t>
  </si>
  <si>
    <t>요양보험</t>
  </si>
  <si>
    <t>고용보험</t>
  </si>
  <si>
    <t xml:space="preserve">제4조 </t>
  </si>
  <si>
    <t>시설장비유지비</t>
  </si>
  <si>
    <t>건강보험</t>
  </si>
  <si>
    <t>자기계발비</t>
  </si>
  <si>
    <t>기말수당</t>
  </si>
  <si>
    <t>고덕양로원</t>
  </si>
  <si>
    <t>기타운영비</t>
  </si>
  <si>
    <t>차량유류대</t>
  </si>
  <si>
    <t>비율(%)</t>
  </si>
  <si>
    <t>사업수입</t>
  </si>
  <si>
    <t>상계종합복지관</t>
  </si>
  <si>
    <t>햇빛자리</t>
  </si>
  <si>
    <t>성지보호작업장</t>
  </si>
  <si>
    <t>법인세환급금</t>
  </si>
  <si>
    <t>한빛종합복지관</t>
  </si>
  <si>
    <t>마음자리</t>
  </si>
  <si>
    <t>중곡종합복지관</t>
  </si>
  <si>
    <t>은도어린이집</t>
  </si>
  <si>
    <t>한가족장학회</t>
  </si>
  <si>
    <t>구파발성당데이</t>
  </si>
  <si>
    <t>혜화동데이케어</t>
  </si>
  <si>
    <t>신당종합복지관</t>
  </si>
  <si>
    <t>기타후생경비</t>
  </si>
  <si>
    <t>및 기타</t>
  </si>
  <si>
    <t>전문가 자문비</t>
  </si>
  <si>
    <t>고충처리위원회</t>
  </si>
  <si>
    <t>6) 이월금</t>
  </si>
  <si>
    <t>사제공제회비</t>
  </si>
  <si>
    <t>계좌입금 후원</t>
  </si>
  <si>
    <t>한국카리타스</t>
  </si>
  <si>
    <t>CMS관리비</t>
  </si>
  <si>
    <t>재가특별지원</t>
  </si>
  <si>
    <t>고척동성당데이</t>
  </si>
  <si>
    <t>비둘기주간보호</t>
  </si>
  <si>
    <t>성가정입양원</t>
  </si>
  <si>
    <t>시설지정기탁</t>
  </si>
  <si>
    <t>왕십리성당데이</t>
  </si>
  <si>
    <t>홍보동영상</t>
  </si>
  <si>
    <t>상계동성당데이</t>
  </si>
  <si>
    <t>서리풀주간보호</t>
  </si>
  <si>
    <t>서민금융진흥원</t>
  </si>
  <si>
    <t>소라네공동생활</t>
  </si>
  <si>
    <t>연희네공동생활</t>
  </si>
  <si>
    <t>우리들의공부방</t>
  </si>
  <si>
    <t>자동차보험모금</t>
  </si>
  <si>
    <t>신당동성당데이</t>
  </si>
  <si>
    <t>요셉의원</t>
  </si>
  <si>
    <t>다향공동생활</t>
  </si>
  <si>
    <t>행운동성당데이</t>
  </si>
  <si>
    <t>1.  세 입</t>
  </si>
  <si>
    <t>야근 식대</t>
  </si>
  <si>
    <t>원금상환금</t>
  </si>
  <si>
    <t>직원 경조사비</t>
  </si>
  <si>
    <t>신망애의집</t>
  </si>
  <si>
    <t xml:space="preserve"> - 평가비</t>
  </si>
  <si>
    <t>상일어린이집</t>
  </si>
  <si>
    <t>출장 여비</t>
  </si>
  <si>
    <t xml:space="preserve"> 이자지급금</t>
  </si>
  <si>
    <t>희망의집</t>
  </si>
  <si>
    <t>본당신자교육</t>
  </si>
  <si>
    <t>홍보물 제작</t>
  </si>
  <si>
    <t>사랑손주간보호</t>
  </si>
  <si>
    <t>홈페이지 관리</t>
  </si>
  <si>
    <t>후원자통합관리</t>
  </si>
  <si>
    <t>교정사목지원</t>
  </si>
  <si>
    <t>모금자문위원회</t>
  </si>
  <si>
    <t>고액후원자관리</t>
  </si>
  <si>
    <t>연구사업</t>
  </si>
  <si>
    <t>대외협력
사업</t>
  </si>
  <si>
    <t>해뜨는집</t>
  </si>
  <si>
    <t>갈현동성당데이</t>
  </si>
  <si>
    <t>장애인복지특화</t>
  </si>
  <si>
    <t>2.  세 출</t>
  </si>
  <si>
    <t>다사랑공동생활</t>
  </si>
  <si>
    <t>루치아공동생활</t>
  </si>
  <si>
    <t>금호동성당데이</t>
  </si>
  <si>
    <t>천호동성당데이</t>
  </si>
  <si>
    <t>우리집공동체</t>
  </si>
  <si>
    <t>신망애공동생활</t>
  </si>
  <si>
    <t>나눔의묵상회</t>
  </si>
  <si>
    <t xml:space="preserve">
일반모금</t>
  </si>
  <si>
    <t>연구기획사업</t>
  </si>
  <si>
    <t>홍보사업</t>
  </si>
  <si>
    <t>두레네공동생활</t>
  </si>
  <si>
    <t>홍보대사관리</t>
  </si>
  <si>
    <t>지로모금사업비</t>
  </si>
  <si>
    <t>협의회모금</t>
  </si>
  <si>
    <t>생명대행진</t>
  </si>
  <si>
    <t>연구조사사업</t>
  </si>
  <si>
    <t xml:space="preserve"> - 자문비</t>
  </si>
  <si>
    <t>정체성1단계</t>
  </si>
  <si>
    <t>시설장연수</t>
  </si>
  <si>
    <t>인준단체</t>
  </si>
  <si>
    <t>신규후원자관리</t>
  </si>
  <si>
    <t>혼배기부사업비</t>
  </si>
  <si>
    <t>사업평가회</t>
  </si>
  <si>
    <t>출판사업</t>
  </si>
  <si>
    <t>정체성2단계</t>
  </si>
  <si>
    <t>법인 행사비</t>
  </si>
  <si>
    <t xml:space="preserve"> - 간식비</t>
  </si>
  <si>
    <t>등록단체지원금</t>
  </si>
  <si>
    <t xml:space="preserve"> - 정책제안</t>
  </si>
  <si>
    <t>장학사업</t>
  </si>
  <si>
    <t>간사 인건비</t>
  </si>
  <si>
    <t>공모지원사업</t>
  </si>
  <si>
    <t>협의회특화사업</t>
  </si>
  <si>
    <t>기획사업</t>
  </si>
  <si>
    <t>기타 시설비</t>
  </si>
  <si>
    <t>본당지원금</t>
  </si>
  <si>
    <t>교구보조금</t>
  </si>
  <si>
    <t xml:space="preserve"> - 홍보비</t>
  </si>
  <si>
    <t xml:space="preserve">대림절 </t>
  </si>
  <si>
    <t>심화교육</t>
  </si>
  <si>
    <t>디딤자리</t>
  </si>
  <si>
    <t>기타지원금</t>
  </si>
  <si>
    <t>정체성3단계</t>
  </si>
  <si>
    <t>등록단체관리</t>
  </si>
  <si>
    <t>자기개발과정</t>
  </si>
  <si>
    <t>복지사업</t>
  </si>
  <si>
    <t>물품후원탁송료</t>
  </si>
  <si>
    <t>재난재해</t>
  </si>
  <si>
    <t>교구지원금</t>
  </si>
  <si>
    <t>세실리아장학금</t>
  </si>
  <si>
    <t>사업계획서, 보고서 발간</t>
  </si>
  <si>
    <t xml:space="preserve"> - 정체성1단계(단기)</t>
  </si>
  <si>
    <t>서울대교구성당지정후원금</t>
  </si>
  <si>
    <t>사업수행본당 지원 및 평가</t>
  </si>
  <si>
    <t>본당사회복지 공모지원사업</t>
  </si>
  <si>
    <t>자원봉사통합네트워크유지비</t>
  </si>
  <si>
    <t>통신사 기지국 임대수입</t>
  </si>
  <si>
    <t>시설전출금+시설전출후원금</t>
  </si>
  <si>
    <t>장애인 주일 미사 및 행사</t>
  </si>
  <si>
    <t xml:space="preserve"> - 기획회의 및 평가회비</t>
  </si>
  <si>
    <t xml:space="preserve"> - 특화서비스 지원비</t>
  </si>
  <si>
    <t xml:space="preserve"> - TFT회의 및 평가회비</t>
  </si>
  <si>
    <t>고령장애인 서비스 지원</t>
  </si>
  <si>
    <t xml:space="preserve"> - 정체성1단계(전국)</t>
  </si>
  <si>
    <t>2019년 법인세 환급</t>
  </si>
  <si>
    <t>기타재산수입 및 배당수입</t>
  </si>
  <si>
    <t xml:space="preserve"> - 자기개발과정(자기인식)</t>
  </si>
  <si>
    <t>언론홍보(서울주보 등)</t>
  </si>
  <si>
    <t>평화방송 사례모금 후원금</t>
  </si>
  <si>
    <t>2020년2차
추경예산(A)</t>
  </si>
  <si>
    <t>희망의밥(바보 개인지정기탁)</t>
  </si>
  <si>
    <t>총회 및 회원의날 행사비</t>
  </si>
  <si>
    <t>평화방송 사례 모금 지원</t>
  </si>
  <si>
    <t>법인세환급 (바오로선교회)</t>
  </si>
  <si>
    <t>온라인 홍보컨텐츠 구입</t>
  </si>
  <si>
    <t>2020년3차
추경예산(B)</t>
  </si>
  <si>
    <t>- 장애인복지시설협의회</t>
  </si>
  <si>
    <t>성모영보장학사업 지정후원</t>
  </si>
  <si>
    <t>2018년 사업지원금 반환</t>
  </si>
  <si>
    <t>특별수당(부활,휴가,성탄)</t>
  </si>
  <si>
    <t>요안나장학기금 이자수입</t>
  </si>
  <si>
    <t>다과구입 등 기타회의비</t>
  </si>
  <si>
    <t xml:space="preserve"> - 나눔의묵상회(재교육)</t>
  </si>
  <si>
    <t>장학금지급(3~12월)</t>
  </si>
  <si>
    <t>한국종교계사회복지협의회</t>
  </si>
  <si>
    <t xml:space="preserve">  2.중간관리자연수 </t>
  </si>
  <si>
    <t>예다움보듬이나눔이어린이집</t>
  </si>
  <si>
    <t>요안나장학사업 지정후원</t>
  </si>
  <si>
    <t>자동차세 및 자동차보험료</t>
  </si>
  <si>
    <t xml:space="preserve">본당사회복지자문위원회 </t>
  </si>
  <si>
    <t>양초사업 대출 이자 등</t>
  </si>
  <si>
    <t>등기,평가, 중개수수료 등</t>
  </si>
  <si>
    <t xml:space="preserve"> - 나눔의 묵상회(피정)</t>
  </si>
  <si>
    <t>사무실 및 교육실 임차료</t>
  </si>
  <si>
    <t>- 종합사회복지관협의회</t>
  </si>
  <si>
    <t>양초사업 대출 원금 상환</t>
  </si>
  <si>
    <t>동자동 임대수입(5층)</t>
  </si>
  <si>
    <t>등록단체 방문 및 축하금</t>
  </si>
  <si>
    <t>사무실 컴퓨터 비품구입비</t>
  </si>
  <si>
    <t>본당 자원봉사 
관리및 운영</t>
  </si>
  <si>
    <t>성모영보장학기금  이자수입</t>
  </si>
  <si>
    <t>직영수탁시설방문 및 축하금</t>
  </si>
  <si>
    <t>한끼100원나누기 사업비</t>
  </si>
  <si>
    <t>시설전출금+장애인고용장려금</t>
  </si>
  <si>
    <t>선교200주년장학금 지정후원</t>
  </si>
  <si>
    <t>기타관리비(신청서 제작 등)</t>
  </si>
  <si>
    <t>말가리다장학기금 이자수입</t>
  </si>
  <si>
    <t>사회복지사목 시범본당 운영</t>
  </si>
  <si>
    <t>임대료 지원(본회)</t>
  </si>
  <si>
    <t>지정기탁시설지원</t>
  </si>
  <si>
    <t>(단위 : 천원)</t>
  </si>
  <si>
    <t>장학기금
이자수입</t>
  </si>
  <si>
    <t xml:space="preserve"> - 주교회의 교육및행정분과교육지원</t>
  </si>
  <si>
    <t xml:space="preserve"> - 정체성1단계(어린이집 교사)</t>
  </si>
  <si>
    <t>양초사업 대출금 상환 관련 수입</t>
  </si>
  <si>
    <t>온라인모금(해피빈, 신한아름인)</t>
  </si>
  <si>
    <t xml:space="preserve"> 사회복지회 사제 급여 지원금</t>
  </si>
  <si>
    <t>긴급재난지원사업비(노숙인지원)</t>
  </si>
  <si>
    <t xml:space="preserve">  1. 연수및 카리타스한마당</t>
  </si>
  <si>
    <t>카사지센 사업비 지원(자부담)</t>
  </si>
  <si>
    <t xml:space="preserve"> 베들레헴어린이집지원(이주사목)</t>
  </si>
  <si>
    <t>2019년한마음지원금 잔액반환</t>
  </si>
  <si>
    <t xml:space="preserve"> - 영상제작 및 온라인매체 홍보비</t>
  </si>
  <si>
    <t xml:space="preserve"> - 지역아동센터종사자처우개선</t>
  </si>
  <si>
    <t>동자동 임대수입(1층,지하층)</t>
  </si>
  <si>
    <t xml:space="preserve">3. 세출의 내용은 다음과 같다. </t>
  </si>
  <si>
    <t>2019년 경동제약기탁금 잔액반환</t>
  </si>
  <si>
    <t>탈북민창업지원사업(서민금융진흥원)</t>
  </si>
  <si>
    <t xml:space="preserve"> - 정체성1단계(사회복지사)</t>
  </si>
  <si>
    <t>사랑손신축 가스, 전기,수도인입공사</t>
  </si>
  <si>
    <t xml:space="preserve">2012년 11월 집행액(C)
</t>
  </si>
  <si>
    <t xml:space="preserve"> 성가정노인복지관지원(명일동성당)</t>
  </si>
  <si>
    <t>성무활동비 및 미사예물(사제)</t>
  </si>
  <si>
    <t>2020년 제3차 추가경정예산 총칙</t>
  </si>
  <si>
    <t>시설인사위원회 회의비</t>
  </si>
  <si>
    <t>내방자 긴급지원</t>
  </si>
  <si>
    <t>돌코리아지정후원금</t>
  </si>
  <si>
    <t xml:space="preserve">  2.종사자 연수</t>
  </si>
  <si>
    <t xml:space="preserve">
직영수탁시설관리
</t>
  </si>
  <si>
    <t>지역사회모금사업</t>
  </si>
  <si>
    <t>한부모가정 지정후원금</t>
  </si>
  <si>
    <t>대림절 저금통(개인)</t>
  </si>
  <si>
    <t xml:space="preserve">  1.종사자 교육</t>
  </si>
  <si>
    <t>한마음한몸
지정후원금</t>
  </si>
  <si>
    <t>- 장애인복지협의회</t>
  </si>
  <si>
    <t>前수탁시설사후처리비</t>
  </si>
  <si>
    <t>임원워크숍 및 회의</t>
  </si>
  <si>
    <t>사랑손직업적응훈련시설</t>
  </si>
  <si>
    <t>사순절 저금통(개인)</t>
  </si>
  <si>
    <t>비둘기직업적응훈련시설</t>
  </si>
  <si>
    <t xml:space="preserve">  1. 성지순례</t>
  </si>
  <si>
    <t>긴급재난 직접지원비</t>
  </si>
  <si>
    <t>영역별 테마모금사업비</t>
  </si>
  <si>
    <t>동절기노숙인야간순회</t>
  </si>
  <si>
    <t>돌코리아 지정기탁사업</t>
  </si>
  <si>
    <t>사순대림 저금통</t>
  </si>
  <si>
    <t>후원관리프로그램</t>
  </si>
  <si>
    <t>희망의집 대여금 회수</t>
  </si>
  <si>
    <t>지정기탁지원사업</t>
  </si>
  <si>
    <t>경동제약 지정기탁사업</t>
  </si>
  <si>
    <t xml:space="preserve">협의회
지원사업 </t>
  </si>
  <si>
    <t xml:space="preserve"> - 시설장연수</t>
  </si>
  <si>
    <t>자선주일(대림)</t>
  </si>
  <si>
    <t>재난재해
사업비</t>
  </si>
  <si>
    <t>성지주일(사순)</t>
  </si>
  <si>
    <t>&lt;예산항목 재분류&gt;</t>
  </si>
  <si>
    <t xml:space="preserve">  2.전체직원연수</t>
  </si>
  <si>
    <t xml:space="preserve">  3.동절기야간순회</t>
  </si>
  <si>
    <t xml:space="preserve">  1.실무자교육</t>
  </si>
  <si>
    <t>직원교육 및 연수</t>
  </si>
  <si>
    <t>- 지역아동센터공부방</t>
  </si>
  <si>
    <t>종부세 및 대부료</t>
  </si>
  <si>
    <t>- 아동.청소년그룹홈</t>
  </si>
  <si>
    <t>회장 직책보조비</t>
  </si>
  <si>
    <t>구로구육아종합지원센터</t>
  </si>
  <si>
    <t xml:space="preserve">  2.시설장연수</t>
  </si>
  <si>
    <t>혼배기부 축복미</t>
  </si>
  <si>
    <t>- 어린이집 협의회</t>
  </si>
  <si>
    <t>장학금지급(1~2월)</t>
  </si>
  <si>
    <t xml:space="preserve">  1.중간관리자연수</t>
  </si>
  <si>
    <t>사회복지사업 지원금</t>
  </si>
  <si>
    <t>- 여성복지협의회</t>
  </si>
  <si>
    <t>사순절저금통(본당)</t>
  </si>
  <si>
    <t>화해의집 쉼자리</t>
  </si>
  <si>
    <t>성모(등촌)어린이집</t>
  </si>
  <si>
    <t>8) 과년도수입</t>
  </si>
  <si>
    <t>장학사업
지정후원금</t>
  </si>
  <si>
    <t>성가정노인복지관</t>
  </si>
  <si>
    <t>바오로교실작업장</t>
  </si>
  <si>
    <t>기타 소송경비 등</t>
  </si>
  <si>
    <t>사회사목국 연계</t>
  </si>
  <si>
    <t>공모지원사업 운영비</t>
  </si>
  <si>
    <t>한가족장학금 지정후원</t>
  </si>
  <si>
    <t>전기 · 전화요금</t>
  </si>
  <si>
    <t>나자로보호작업장</t>
  </si>
  <si>
    <t>시설 수탁관리비 등</t>
  </si>
  <si>
    <t xml:space="preserve"> - 업무점검교통비</t>
  </si>
  <si>
    <t>성모자선회 지정후원금</t>
  </si>
  <si>
    <t>부회장 직책보조비</t>
  </si>
  <si>
    <t>시설전출금
(후원금)</t>
  </si>
  <si>
    <t>장애인고용장려금</t>
  </si>
  <si>
    <t>대림절 저금통(본당)</t>
  </si>
  <si>
    <t>특별수당(설,추석)</t>
  </si>
  <si>
    <t>덕계동 임대수입</t>
  </si>
  <si>
    <t>강서직업재활센터</t>
  </si>
  <si>
    <t xml:space="preserve"> - 특별업무점검비</t>
  </si>
  <si>
    <t>쌍문2동어린이집</t>
  </si>
  <si>
    <t>사회적기업진흥원 사업</t>
  </si>
  <si>
    <t xml:space="preserve">선종봉사부 반환금 </t>
  </si>
  <si>
    <t>강일성모노인요양</t>
  </si>
  <si>
    <t>샛별지역아동센터</t>
  </si>
  <si>
    <t>로사리아공동생활</t>
  </si>
  <si>
    <t>마로니에공동생활</t>
  </si>
  <si>
    <t>헬렌켈러단기거주</t>
  </si>
  <si>
    <t xml:space="preserve"> - 점검단교육비</t>
  </si>
  <si>
    <t>꿈손단기보호시설</t>
  </si>
  <si>
    <t>양천어르신요양센터</t>
  </si>
  <si>
    <t>바오로교실주간보호</t>
  </si>
  <si>
    <t xml:space="preserve"> - 메뉴얼제작비</t>
  </si>
  <si>
    <t>바보의나눔 지원금</t>
  </si>
  <si>
    <t>시흥4동성당데이</t>
  </si>
  <si>
    <t>신림성모성당데이</t>
  </si>
  <si>
    <t>하늘자리공동생활</t>
  </si>
  <si>
    <t>화곡본동성당데이</t>
  </si>
  <si>
    <t>화곡성모공동생활</t>
  </si>
  <si>
    <t>등촌7종합복지관</t>
  </si>
  <si>
    <t>한우리보호작업장</t>
  </si>
  <si>
    <t>서로함께(청담)</t>
  </si>
  <si>
    <t>프란치스코어린이집</t>
  </si>
  <si>
    <t>헬렌켈러공동생활2</t>
  </si>
  <si>
    <t>헬렌켈러공동생활</t>
  </si>
  <si>
    <t>옥수동아파트 임대수입</t>
  </si>
  <si>
    <t>보금자리공동생활</t>
  </si>
  <si>
    <t>서로함께(신림)</t>
  </si>
  <si>
    <t>너울자리공동생활</t>
  </si>
  <si>
    <t>한우리정보문화센터</t>
  </si>
  <si>
    <t>성빈센트환경마을</t>
  </si>
  <si>
    <t>헬렌켈러주간보호</t>
  </si>
  <si>
    <t xml:space="preserve"> - 장애인인권교육</t>
  </si>
  <si>
    <t xml:space="preserve"> - 실무자회의비외</t>
  </si>
  <si>
    <t>등록단체 지도점검</t>
  </si>
  <si>
    <t>사례관리모형개발비</t>
  </si>
  <si>
    <t>- 노숙인복지협의회</t>
  </si>
  <si>
    <t>본당사회
복지사업</t>
  </si>
  <si>
    <t>CS노인통합
사례관리</t>
  </si>
  <si>
    <t>본당방문모금사업비</t>
  </si>
  <si>
    <t>꿈자람터장애인주간</t>
  </si>
  <si>
    <t>한끼100원모금</t>
  </si>
  <si>
    <t>대림절모금사업비</t>
  </si>
  <si>
    <t>신풍오피스텔 임대</t>
  </si>
  <si>
    <t>지역사회
보호사업</t>
  </si>
  <si>
    <t>양천데이케어센터</t>
  </si>
  <si>
    <t>소외계층 긴급지원</t>
  </si>
  <si>
    <t>분야별대표협의회</t>
  </si>
  <si>
    <t>시범본당 운영지원</t>
  </si>
  <si>
    <t>사회복지분과 모임지원</t>
  </si>
  <si>
    <t xml:space="preserve"> - 영역별 행사비</t>
  </si>
  <si>
    <t>모범본당 운영지원</t>
  </si>
  <si>
    <t>사례집 제작 및 배포</t>
  </si>
  <si>
    <t>사순절모금사업비</t>
  </si>
  <si>
    <t>시설본당 공동사업지원</t>
  </si>
  <si>
    <t>본당사회복지활동지원</t>
  </si>
  <si>
    <t>본당 이웃사랑 캠페인</t>
  </si>
  <si>
    <t>사업설명회 및 심사</t>
  </si>
  <si>
    <t>님비현상 개선 캠페인</t>
  </si>
  <si>
    <t>본당 사업 지원금</t>
  </si>
  <si>
    <t xml:space="preserve"> - 기타 진행비</t>
  </si>
  <si>
    <t>MOU 실무협의회</t>
  </si>
  <si>
    <t xml:space="preserve"> - 시상식 포상금</t>
  </si>
  <si>
    <t xml:space="preserve"> - 간담회 진행비</t>
  </si>
  <si>
    <t>사업계획 및 평가</t>
  </si>
  <si>
    <t xml:space="preserve"> - 정체성2단계</t>
  </si>
  <si>
    <t xml:space="preserve"> - 정체성3단계</t>
  </si>
  <si>
    <t>연차보고서 발간</t>
  </si>
  <si>
    <t>장애인 부모 간담회</t>
  </si>
  <si>
    <t>종교계자원봉사협의회</t>
  </si>
  <si>
    <t xml:space="preserve"> - 평가회 진행비</t>
  </si>
  <si>
    <t xml:space="preserve"> - 자기개발과정</t>
  </si>
  <si>
    <t>한국자원봉사협의회</t>
  </si>
  <si>
    <t>사무비</t>
  </si>
  <si>
    <t>소계</t>
  </si>
  <si>
    <t>=</t>
  </si>
  <si>
    <t>목</t>
  </si>
  <si>
    <t>조성비</t>
  </si>
  <si>
    <t>인건비</t>
  </si>
  <si>
    <t>재산</t>
  </si>
  <si>
    <t>수당</t>
  </si>
  <si>
    <t>금액</t>
  </si>
  <si>
    <t>회</t>
  </si>
  <si>
    <t>원</t>
  </si>
  <si>
    <t>×</t>
  </si>
  <si>
    <t>식</t>
  </si>
  <si>
    <t>추진비</t>
  </si>
  <si>
    <t>월</t>
  </si>
  <si>
    <t>계</t>
  </si>
  <si>
    <t>기본</t>
  </si>
  <si>
    <t>전출금</t>
  </si>
  <si>
    <t>관</t>
  </si>
  <si>
    <t>항</t>
  </si>
  <si>
    <t>급여</t>
  </si>
  <si>
    <t>전입금</t>
  </si>
  <si>
    <t>회의비</t>
  </si>
  <si>
    <t>업무</t>
  </si>
  <si>
    <t>이월금</t>
  </si>
  <si>
    <t>시설비</t>
  </si>
  <si>
    <t>합계</t>
  </si>
  <si>
    <t>여비</t>
  </si>
  <si>
    <t>/</t>
  </si>
  <si>
    <t>총계</t>
  </si>
  <si>
    <t>분야별</t>
  </si>
  <si>
    <t>예비비</t>
  </si>
  <si>
    <t>사업비</t>
  </si>
  <si>
    <t>분기</t>
  </si>
  <si>
    <t>수입</t>
  </si>
  <si>
    <t>직책</t>
  </si>
  <si>
    <t>지정</t>
  </si>
  <si>
    <t>후원금</t>
  </si>
  <si>
    <t>대</t>
  </si>
  <si>
    <t>x</t>
  </si>
  <si>
    <t>차량비</t>
  </si>
  <si>
    <t>자부담</t>
  </si>
  <si>
    <t>비지정</t>
  </si>
  <si>
    <t>비율</t>
  </si>
  <si>
    <t>CMS</t>
  </si>
  <si>
    <t>근속</t>
  </si>
  <si>
    <t>천원</t>
  </si>
  <si>
    <t xml:space="preserve"> </t>
  </si>
  <si>
    <t>명</t>
  </si>
  <si>
    <t>상환금</t>
  </si>
  <si>
    <t>반환금</t>
  </si>
  <si>
    <t>곳</t>
  </si>
  <si>
    <t>본봉</t>
  </si>
  <si>
    <t>법정</t>
  </si>
  <si>
    <t>사순절</t>
  </si>
  <si>
    <t>잡지출</t>
  </si>
  <si>
    <t>직무</t>
  </si>
  <si>
    <t>피정비</t>
  </si>
  <si>
    <t xml:space="preserve"> =</t>
  </si>
  <si>
    <t>급식비</t>
  </si>
  <si>
    <t>부</t>
  </si>
  <si>
    <t>잡수입</t>
  </si>
  <si>
    <t>개</t>
  </si>
  <si>
    <t>시설</t>
  </si>
  <si>
    <t>단체</t>
  </si>
  <si>
    <t>운영비</t>
  </si>
  <si>
    <t>신규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</si>
  <si>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</si>
  <si>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</si>
  <si>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>운영위원 회의비</t>
  </si>
  <si>
    <t>회계감사및 세무조정료</t>
  </si>
  <si>
    <t xml:space="preserve">  2. 근조기운영</t>
  </si>
  <si>
    <t>비지정후원 예비비</t>
  </si>
  <si>
    <t>이월금(비지정후원)</t>
  </si>
  <si>
    <t>이월금(지정후원)</t>
  </si>
  <si>
    <t>이월금(자부담)</t>
  </si>
  <si>
    <t>수용비 및
수수료</t>
  </si>
  <si>
    <t>이월금(보조금)</t>
  </si>
  <si>
    <t xml:space="preserve">  1.야외행사</t>
  </si>
  <si>
    <t xml:space="preserve">  1.어린이잔치</t>
  </si>
  <si>
    <t xml:space="preserve">  1.연합행사 </t>
  </si>
  <si>
    <t>운영위원회회의비</t>
  </si>
  <si>
    <t>이월금(기본재산)</t>
  </si>
  <si>
    <t>사회보험
부담금</t>
  </si>
  <si>
    <t>베들레헴어린이집</t>
  </si>
  <si>
    <t>경동제약지정후원금</t>
  </si>
  <si>
    <t>2) 재산조성비</t>
  </si>
  <si>
    <t>한국사회적기업진흥원</t>
  </si>
  <si>
    <t>7) 시설전출금</t>
  </si>
  <si>
    <t>비지정후원이월금</t>
  </si>
  <si>
    <t>중구장애인복지관</t>
  </si>
  <si>
    <t>8) 예비비 및 기타</t>
  </si>
  <si>
    <t>4) 과년도지출</t>
  </si>
  <si>
    <t xml:space="preserve">동작노인복지관 </t>
  </si>
  <si>
    <t>예비비
및 기타</t>
  </si>
  <si>
    <t>직원 회의비 등</t>
  </si>
  <si>
    <t>서초3단지어린이집</t>
  </si>
  <si>
    <t>동화나라어린이집</t>
  </si>
  <si>
    <t>시설장비
유지비</t>
  </si>
  <si>
    <t>서울가톨릭사회복지회 2020년  세입·세출 예산</t>
  </si>
  <si>
    <t>시설전출금+장애인고용장려금+시설전출후원금</t>
  </si>
  <si>
    <t>2. 세입의 주요 재원은 다음과 같다.</t>
  </si>
  <si>
    <t>이는 차기 추가경정예산에 반영해야 한다.</t>
  </si>
  <si>
    <t>이주사목위원회 지원(베들레헴어린이집 지원)</t>
  </si>
  <si>
    <t>명일동성당지원금(성가정노인복지관지원)</t>
  </si>
  <si>
    <t>한빛장애인주간보호</t>
    <phoneticPr fontId="7" type="noConversion"/>
  </si>
  <si>
    <t>신규</t>
    <phoneticPr fontId="7" type="noConversion"/>
  </si>
  <si>
    <t>회</t>
    <phoneticPr fontId="7" type="noConversion"/>
  </si>
  <si>
    <t>전입금</t>
    <phoneticPr fontId="7" type="noConversion"/>
  </si>
  <si>
    <t>전입금</t>
    <phoneticPr fontId="7" type="noConversion"/>
  </si>
  <si>
    <t>사회복지법인 서울가톨릭사회복지회의  2020년 제3차 추가경정예산(안) 세입 · 세출액은 각각 8,953,155천원이며</t>
    <phoneticPr fontId="7" type="noConversion"/>
  </si>
  <si>
    <r>
      <t xml:space="preserve">2020년 제2차 추가경정예산 대비 </t>
    </r>
    <r>
      <rPr>
        <sz val="12"/>
        <color rgb="FFFF0000"/>
        <rFont val="맑은 고딕"/>
        <family val="3"/>
        <charset val="129"/>
      </rPr>
      <t>0.2</t>
    </r>
    <r>
      <rPr>
        <sz val="12"/>
        <color rgb="FF000000"/>
        <rFont val="맑은 고딕"/>
        <family val="3"/>
        <charset val="129"/>
      </rPr>
      <t>%  감소하였다.</t>
    </r>
    <phoneticPr fontId="7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</si>
  <si>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</si>
  <si>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r>
      <t>산출내역</t>
    </r>
    <r>
      <rPr>
        <sz val="10"/>
        <rFont val="맑은 고딕"/>
        <family val="3"/>
        <charset val="129"/>
      </rPr>
      <t>(단위: 원)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</si>
</sst>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</numFmts>
  <fonts count="25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>
      <alignment vertical="center"/>
    </xf>
    <xf numFmtId="41" fontId="6" fillId="0" borderId="0">
      <alignment vertical="center"/>
    </xf>
    <xf numFmtId="9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0" fontId="1" fillId="0" borderId="0"/>
  </cellStyleXfs>
  <cellXfs count="7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41" fontId="9" fillId="2" borderId="35" xfId="4" applyNumberFormat="1" applyFont="1" applyFill="1" applyBorder="1" applyAlignment="1">
      <alignment horizontal="center"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8" fontId="9" fillId="0" borderId="35" xfId="4" applyNumberFormat="1" applyFont="1" applyBorder="1" applyAlignment="1">
      <alignment horizontal="right" vertical="center"/>
    </xf>
    <xf numFmtId="41" fontId="9" fillId="0" borderId="35" xfId="4" applyNumberFormat="1" applyFont="1" applyFill="1" applyBorder="1" applyAlignment="1">
      <alignment horizontal="center" vertical="center"/>
    </xf>
    <xf numFmtId="0" fontId="8" fillId="0" borderId="20" xfId="0" applyNumberFormat="1" applyFont="1" applyBorder="1" applyAlignment="1">
      <alignment horizontal="center" vertical="center"/>
    </xf>
    <xf numFmtId="41" fontId="9" fillId="0" borderId="35" xfId="4" applyNumberFormat="1" applyFont="1" applyBorder="1" applyAlignment="1">
      <alignment horizontal="center" vertical="center"/>
    </xf>
    <xf numFmtId="179" fontId="9" fillId="0" borderId="35" xfId="4" applyNumberFormat="1" applyFont="1" applyBorder="1" applyAlignment="1">
      <alignment vertical="center"/>
    </xf>
    <xf numFmtId="0" fontId="10" fillId="0" borderId="0" xfId="0" applyNumberFormat="1" applyFont="1" applyBorder="1" applyAlignment="1">
      <alignment horizontal="left" vertical="center"/>
    </xf>
    <xf numFmtId="0" fontId="9" fillId="0" borderId="0" xfId="0" applyNumberFormat="1" applyFont="1" applyAlignment="1">
      <alignment horizontal="center" vertical="center"/>
    </xf>
    <xf numFmtId="41" fontId="9" fillId="0" borderId="0" xfId="2" applyNumberFormat="1" applyFont="1" applyFill="1" applyAlignment="1">
      <alignment horizontal="center" vertical="center"/>
    </xf>
    <xf numFmtId="41" fontId="9" fillId="0" borderId="0" xfId="2" applyNumberFormat="1" applyFont="1" applyAlignment="1">
      <alignment horizontal="center" vertical="center"/>
    </xf>
    <xf numFmtId="178" fontId="9" fillId="0" borderId="0" xfId="2" applyNumberFormat="1" applyFont="1" applyAlignment="1">
      <alignment horizontal="right" vertical="center"/>
    </xf>
    <xf numFmtId="179" fontId="9" fillId="0" borderId="0" xfId="2" applyNumberFormat="1" applyFont="1" applyAlignment="1">
      <alignment vertical="center"/>
    </xf>
    <xf numFmtId="0" fontId="11" fillId="0" borderId="0" xfId="0" applyNumberFormat="1" applyFont="1" applyAlignment="1">
      <alignment horizontal="left" vertical="center"/>
    </xf>
    <xf numFmtId="41" fontId="8" fillId="0" borderId="0" xfId="2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9" fillId="0" borderId="0" xfId="0" applyNumberFormat="1" applyFont="1">
      <alignment vertical="center"/>
    </xf>
    <xf numFmtId="41" fontId="9" fillId="0" borderId="0" xfId="2" applyNumberFormat="1" applyFont="1">
      <alignment vertical="center"/>
    </xf>
    <xf numFmtId="41" fontId="12" fillId="0" borderId="0" xfId="2" applyNumberFormat="1" applyFont="1">
      <alignment vertical="center"/>
    </xf>
    <xf numFmtId="0" fontId="13" fillId="0" borderId="0" xfId="0" applyNumberFormat="1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center" vertical="center"/>
    </xf>
    <xf numFmtId="41" fontId="14" fillId="0" borderId="0" xfId="2" applyNumberFormat="1" applyFont="1" applyFill="1" applyBorder="1" applyAlignment="1">
      <alignment horizontal="center" vertical="center"/>
    </xf>
    <xf numFmtId="41" fontId="14" fillId="0" borderId="0" xfId="2" applyNumberFormat="1" applyFont="1" applyBorder="1" applyAlignment="1">
      <alignment horizontal="center" vertical="center"/>
    </xf>
    <xf numFmtId="178" fontId="14" fillId="0" borderId="0" xfId="2" applyNumberFormat="1" applyFont="1" applyBorder="1" applyAlignment="1">
      <alignment horizontal="right" vertical="center"/>
    </xf>
    <xf numFmtId="179" fontId="14" fillId="0" borderId="0" xfId="2" applyNumberFormat="1" applyFont="1" applyBorder="1" applyAlignment="1">
      <alignment vertical="center"/>
    </xf>
    <xf numFmtId="0" fontId="9" fillId="0" borderId="0" xfId="0" applyNumberFormat="1" applyFont="1" applyBorder="1" applyAlignment="1">
      <alignment horizontal="right" vertical="center"/>
    </xf>
    <xf numFmtId="0" fontId="15" fillId="0" borderId="5" xfId="0" applyNumberFormat="1" applyFont="1" applyBorder="1" applyAlignment="1">
      <alignment horizontal="center" vertical="center"/>
    </xf>
    <xf numFmtId="0" fontId="15" fillId="0" borderId="75" xfId="0" applyNumberFormat="1" applyFont="1" applyBorder="1" applyAlignment="1">
      <alignment horizontal="center" vertical="center"/>
    </xf>
    <xf numFmtId="0" fontId="15" fillId="0" borderId="71" xfId="0" applyNumberFormat="1" applyFont="1" applyBorder="1" applyAlignment="1">
      <alignment horizontal="center" vertical="center"/>
    </xf>
    <xf numFmtId="41" fontId="15" fillId="0" borderId="71" xfId="2" applyNumberFormat="1" applyFont="1" applyBorder="1" applyAlignment="1">
      <alignment horizontal="center" vertical="center" wrapText="1"/>
    </xf>
    <xf numFmtId="41" fontId="15" fillId="2" borderId="71" xfId="4" applyNumberFormat="1" applyFont="1" applyFill="1" applyBorder="1" applyAlignment="1">
      <alignment horizontal="center" vertical="center" wrapText="1"/>
    </xf>
    <xf numFmtId="41" fontId="15" fillId="0" borderId="57" xfId="2" applyNumberFormat="1" applyFont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47" xfId="0" applyNumberFormat="1" applyFont="1" applyBorder="1" applyAlignment="1">
      <alignment horizontal="center" vertical="center"/>
    </xf>
    <xf numFmtId="0" fontId="15" fillId="0" borderId="72" xfId="0" applyNumberFormat="1" applyFont="1" applyBorder="1" applyAlignment="1">
      <alignment horizontal="center" vertical="center"/>
    </xf>
    <xf numFmtId="41" fontId="15" fillId="0" borderId="72" xfId="2" applyNumberFormat="1" applyFont="1" applyBorder="1" applyAlignment="1">
      <alignment horizontal="center" vertical="center" wrapText="1"/>
    </xf>
    <xf numFmtId="41" fontId="15" fillId="2" borderId="49" xfId="4" applyNumberFormat="1" applyFont="1" applyFill="1" applyBorder="1" applyAlignment="1">
      <alignment horizontal="center" vertical="center" wrapText="1"/>
    </xf>
    <xf numFmtId="41" fontId="15" fillId="0" borderId="48" xfId="2" applyNumberFormat="1" applyFont="1" applyBorder="1" applyAlignment="1">
      <alignment horizontal="center" vertical="center"/>
    </xf>
    <xf numFmtId="179" fontId="15" fillId="0" borderId="48" xfId="2" applyNumberFormat="1" applyFont="1" applyBorder="1" applyAlignment="1">
      <alignment vertical="center"/>
    </xf>
    <xf numFmtId="0" fontId="15" fillId="0" borderId="28" xfId="0" applyNumberFormat="1" applyFont="1" applyBorder="1" applyAlignment="1">
      <alignment horizontal="center" vertical="center"/>
    </xf>
    <xf numFmtId="0" fontId="15" fillId="0" borderId="44" xfId="0" applyNumberFormat="1" applyFont="1" applyBorder="1" applyAlignment="1">
      <alignment horizontal="center" vertical="center"/>
    </xf>
    <xf numFmtId="0" fontId="15" fillId="0" borderId="74" xfId="0" applyNumberFormat="1" applyFont="1" applyBorder="1" applyAlignment="1">
      <alignment horizontal="center" vertical="center"/>
    </xf>
    <xf numFmtId="41" fontId="15" fillId="0" borderId="28" xfId="2" applyNumberFormat="1" applyFont="1" applyBorder="1" applyAlignment="1">
      <alignment horizontal="center" vertical="center"/>
    </xf>
    <xf numFmtId="41" fontId="15" fillId="0" borderId="79" xfId="2" applyNumberFormat="1" applyFont="1" applyBorder="1" applyAlignment="1">
      <alignment horizontal="center" vertical="center"/>
    </xf>
    <xf numFmtId="41" fontId="15" fillId="2" borderId="49" xfId="4" applyNumberFormat="1" applyFont="1" applyFill="1" applyBorder="1" applyAlignment="1">
      <alignment horizontal="center" vertical="center"/>
    </xf>
    <xf numFmtId="178" fontId="15" fillId="0" borderId="45" xfId="2" applyNumberFormat="1" applyFont="1" applyBorder="1" applyAlignment="1">
      <alignment horizontal="right" vertical="center"/>
    </xf>
    <xf numFmtId="179" fontId="15" fillId="0" borderId="45" xfId="2" applyNumberFormat="1" applyFont="1" applyBorder="1" applyAlignment="1">
      <alignment vertical="center"/>
    </xf>
    <xf numFmtId="0" fontId="11" fillId="0" borderId="50" xfId="0" applyNumberFormat="1" applyFont="1" applyBorder="1">
      <alignment vertical="center"/>
    </xf>
    <xf numFmtId="0" fontId="11" fillId="0" borderId="30" xfId="0" applyNumberFormat="1" applyFont="1" applyBorder="1">
      <alignment vertical="center"/>
    </xf>
    <xf numFmtId="0" fontId="11" fillId="0" borderId="30" xfId="0" applyNumberFormat="1" applyFont="1" applyBorder="1" applyAlignment="1">
      <alignment horizontal="center" vertical="center"/>
    </xf>
    <xf numFmtId="0" fontId="11" fillId="0" borderId="51" xfId="0" applyNumberFormat="1" applyFont="1" applyBorder="1">
      <alignment vertical="center"/>
    </xf>
    <xf numFmtId="41" fontId="16" fillId="0" borderId="51" xfId="2" applyNumberFormat="1" applyFont="1" applyBorder="1" applyAlignment="1">
      <alignment horizontal="center" vertical="center"/>
    </xf>
    <xf numFmtId="0" fontId="17" fillId="0" borderId="66" xfId="0" applyNumberFormat="1" applyFont="1" applyBorder="1">
      <alignment vertical="center"/>
    </xf>
    <xf numFmtId="0" fontId="18" fillId="0" borderId="6" xfId="0" applyNumberFormat="1" applyFont="1" applyBorder="1" applyAlignment="1">
      <alignment horizontal="center" vertical="center"/>
    </xf>
    <xf numFmtId="0" fontId="18" fillId="0" borderId="40" xfId="0" applyNumberFormat="1" applyFont="1" applyBorder="1" applyAlignment="1">
      <alignment horizontal="center" vertical="center"/>
    </xf>
    <xf numFmtId="0" fontId="18" fillId="0" borderId="53" xfId="0" applyNumberFormat="1" applyFont="1" applyBorder="1" applyAlignment="1">
      <alignment horizontal="center" vertical="center"/>
    </xf>
    <xf numFmtId="41" fontId="15" fillId="0" borderId="52" xfId="2" applyNumberFormat="1" applyFont="1" applyFill="1" applyBorder="1" applyAlignment="1">
      <alignment horizontal="center" vertical="center"/>
    </xf>
    <xf numFmtId="41" fontId="15" fillId="0" borderId="52" xfId="2" applyNumberFormat="1" applyFont="1" applyBorder="1" applyAlignment="1">
      <alignment horizontal="center" vertical="center"/>
    </xf>
    <xf numFmtId="41" fontId="15" fillId="2" borderId="52" xfId="4" applyNumberFormat="1" applyFont="1" applyFill="1" applyBorder="1" applyAlignment="1">
      <alignment horizontal="center" vertical="center"/>
    </xf>
    <xf numFmtId="178" fontId="15" fillId="0" borderId="52" xfId="2" applyNumberFormat="1" applyFont="1" applyBorder="1" applyAlignment="1">
      <alignment horizontal="right" vertical="center"/>
    </xf>
    <xf numFmtId="179" fontId="15" fillId="0" borderId="52" xfId="2" applyNumberFormat="1" applyFont="1" applyBorder="1" applyAlignment="1">
      <alignment vertical="center"/>
    </xf>
    <xf numFmtId="0" fontId="11" fillId="0" borderId="53" xfId="0" applyNumberFormat="1" applyFont="1" applyBorder="1" applyAlignment="1">
      <alignment horizontal="left" vertical="center"/>
    </xf>
    <xf numFmtId="41" fontId="8" fillId="0" borderId="54" xfId="2" applyNumberFormat="1" applyFont="1" applyBorder="1">
      <alignment vertical="center"/>
    </xf>
    <xf numFmtId="0" fontId="8" fillId="0" borderId="54" xfId="0" applyNumberFormat="1" applyFont="1" applyBorder="1">
      <alignment vertical="center"/>
    </xf>
    <xf numFmtId="0" fontId="8" fillId="0" borderId="54" xfId="0" applyNumberFormat="1" applyFont="1" applyBorder="1" applyAlignment="1">
      <alignment horizontal="center" vertical="center"/>
    </xf>
    <xf numFmtId="41" fontId="16" fillId="0" borderId="54" xfId="2" applyNumberFormat="1" applyFont="1" applyBorder="1">
      <alignment vertical="center"/>
    </xf>
    <xf numFmtId="0" fontId="16" fillId="0" borderId="67" xfId="0" applyNumberFormat="1" applyFont="1" applyBorder="1">
      <alignment vertical="center"/>
    </xf>
    <xf numFmtId="41" fontId="9" fillId="0" borderId="6" xfId="2" applyNumberFormat="1" applyFont="1" applyBorder="1" applyAlignment="1">
      <alignment horizontal="center" vertical="center"/>
    </xf>
    <xf numFmtId="0" fontId="18" fillId="0" borderId="9" xfId="0" applyNumberFormat="1" applyFont="1" applyBorder="1" applyAlignment="1">
      <alignment horizontal="center" vertical="center"/>
    </xf>
    <xf numFmtId="0" fontId="15" fillId="0" borderId="27" xfId="0" applyNumberFormat="1" applyFont="1" applyBorder="1" applyAlignment="1">
      <alignment horizontal="center" vertical="center"/>
    </xf>
    <xf numFmtId="41" fontId="15" fillId="0" borderId="31" xfId="2" applyNumberFormat="1" applyFont="1" applyFill="1" applyBorder="1" applyAlignment="1">
      <alignment horizontal="center" vertical="center"/>
    </xf>
    <xf numFmtId="41" fontId="15" fillId="0" borderId="31" xfId="2" applyNumberFormat="1" applyFont="1" applyBorder="1" applyAlignment="1">
      <alignment horizontal="center" vertical="center"/>
    </xf>
    <xf numFmtId="41" fontId="15" fillId="2" borderId="31" xfId="4" applyNumberFormat="1" applyFont="1" applyFill="1" applyBorder="1" applyAlignment="1">
      <alignment horizontal="center" vertical="center"/>
    </xf>
    <xf numFmtId="178" fontId="15" fillId="0" borderId="31" xfId="2" applyNumberFormat="1" applyFont="1" applyBorder="1" applyAlignment="1">
      <alignment horizontal="right" vertical="center"/>
    </xf>
    <xf numFmtId="179" fontId="15" fillId="0" borderId="31" xfId="2" applyNumberFormat="1" applyFont="1" applyBorder="1" applyAlignment="1">
      <alignment vertical="center"/>
    </xf>
    <xf numFmtId="0" fontId="11" fillId="0" borderId="27" xfId="0" applyNumberFormat="1" applyFont="1" applyBorder="1" applyAlignment="1">
      <alignment horizontal="left" vertical="center"/>
    </xf>
    <xf numFmtId="41" fontId="8" fillId="0" borderId="0" xfId="2" applyNumberFormat="1" applyFont="1" applyBorder="1">
      <alignment vertical="center"/>
    </xf>
    <xf numFmtId="0" fontId="8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18" xfId="0" applyNumberFormat="1" applyFont="1" applyBorder="1">
      <alignment vertical="center"/>
    </xf>
    <xf numFmtId="41" fontId="19" fillId="3" borderId="46" xfId="2" applyNumberFormat="1" applyFont="1" applyFill="1" applyBorder="1" applyAlignment="1">
      <alignment horizontal="center" vertical="distributed"/>
    </xf>
    <xf numFmtId="0" fontId="9" fillId="0" borderId="9" xfId="0" applyNumberFormat="1" applyFont="1" applyBorder="1" applyAlignment="1">
      <alignment horizontal="center" vertical="center"/>
    </xf>
    <xf numFmtId="0" fontId="8" fillId="0" borderId="39" xfId="0" applyNumberFormat="1" applyFont="1" applyBorder="1" applyAlignment="1">
      <alignment horizontal="center" vertical="center"/>
    </xf>
    <xf numFmtId="41" fontId="9" fillId="0" borderId="38" xfId="2" applyNumberFormat="1" applyFont="1" applyFill="1" applyBorder="1" applyAlignment="1">
      <alignment horizontal="right" vertical="center"/>
    </xf>
    <xf numFmtId="178" fontId="9" fillId="0" borderId="38" xfId="2" applyNumberFormat="1" applyFont="1" applyBorder="1" applyAlignment="1">
      <alignment horizontal="right" vertical="center"/>
    </xf>
    <xf numFmtId="41" fontId="9" fillId="2" borderId="38" xfId="4" applyNumberFormat="1" applyFont="1" applyFill="1" applyBorder="1" applyAlignment="1">
      <alignment horizontal="center" vertical="center"/>
    </xf>
    <xf numFmtId="179" fontId="9" fillId="0" borderId="38" xfId="2" applyNumberFormat="1" applyFont="1" applyBorder="1" applyAlignment="1">
      <alignment horizontal="right" vertical="center"/>
    </xf>
    <xf numFmtId="0" fontId="8" fillId="0" borderId="25" xfId="0" applyNumberFormat="1" applyFont="1" applyBorder="1" applyAlignment="1">
      <alignment horizontal="left" vertical="center"/>
    </xf>
    <xf numFmtId="41" fontId="8" fillId="0" borderId="2" xfId="2" applyNumberFormat="1" applyFont="1" applyBorder="1">
      <alignment vertical="center"/>
    </xf>
    <xf numFmtId="0" fontId="8" fillId="0" borderId="2" xfId="0" applyNumberFormat="1" applyFont="1" applyBorder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9" xfId="0" applyNumberFormat="1" applyFont="1" applyBorder="1">
      <alignment vertical="center"/>
    </xf>
    <xf numFmtId="41" fontId="20" fillId="3" borderId="46" xfId="2" applyNumberFormat="1" applyFont="1" applyFill="1" applyBorder="1" applyAlignment="1">
      <alignment horizontal="center" vertical="distributed"/>
    </xf>
    <xf numFmtId="0" fontId="8" fillId="0" borderId="69" xfId="0" applyNumberFormat="1" applyFont="1" applyBorder="1" applyAlignment="1">
      <alignment horizontal="center" vertical="center"/>
    </xf>
    <xf numFmtId="41" fontId="9" fillId="0" borderId="31" xfId="2" applyNumberFormat="1" applyFont="1" applyFill="1" applyBorder="1" applyAlignment="1">
      <alignment horizontal="right" vertical="center"/>
    </xf>
    <xf numFmtId="178" fontId="9" fillId="0" borderId="31" xfId="2" applyNumberFormat="1" applyFont="1" applyBorder="1" applyAlignment="1">
      <alignment horizontal="right" vertical="center"/>
    </xf>
    <xf numFmtId="41" fontId="9" fillId="2" borderId="31" xfId="4" applyNumberFormat="1" applyFont="1" applyFill="1" applyBorder="1" applyAlignment="1">
      <alignment horizontal="center" vertical="center"/>
    </xf>
    <xf numFmtId="179" fontId="9" fillId="0" borderId="31" xfId="2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left" vertical="center"/>
    </xf>
    <xf numFmtId="0" fontId="21" fillId="0" borderId="0" xfId="0" applyNumberFormat="1" applyFont="1" applyBorder="1" applyAlignment="1">
      <alignment horizontal="center" vertical="center"/>
    </xf>
    <xf numFmtId="0" fontId="8" fillId="0" borderId="0" xfId="0" quotePrefix="1" applyNumberFormat="1" applyFont="1" applyBorder="1" applyAlignment="1">
      <alignment horizontal="center" vertical="center"/>
    </xf>
    <xf numFmtId="178" fontId="8" fillId="0" borderId="0" xfId="2" applyNumberFormat="1" applyFont="1" applyBorder="1">
      <alignment vertical="center"/>
    </xf>
    <xf numFmtId="0" fontId="8" fillId="0" borderId="4" xfId="0" applyNumberFormat="1" applyFont="1" applyBorder="1">
      <alignment vertical="center"/>
    </xf>
    <xf numFmtId="41" fontId="20" fillId="3" borderId="0" xfId="2" applyNumberFormat="1" applyFont="1" applyFill="1" applyBorder="1" applyAlignment="1">
      <alignment horizontal="center" vertical="distributed"/>
    </xf>
    <xf numFmtId="41" fontId="9" fillId="2" borderId="45" xfId="4" applyNumberFormat="1" applyFont="1" applyFill="1" applyBorder="1" applyAlignment="1">
      <alignment horizontal="center" vertical="center"/>
    </xf>
    <xf numFmtId="0" fontId="8" fillId="0" borderId="41" xfId="0" applyNumberFormat="1" applyFont="1" applyBorder="1" applyAlignment="1">
      <alignment horizontal="center" vertical="center"/>
    </xf>
    <xf numFmtId="41" fontId="9" fillId="0" borderId="45" xfId="2" applyNumberFormat="1" applyFont="1" applyFill="1" applyBorder="1" applyAlignment="1">
      <alignment horizontal="right" vertical="center"/>
    </xf>
    <xf numFmtId="178" fontId="9" fillId="0" borderId="45" xfId="2" applyNumberFormat="1" applyFont="1" applyBorder="1" applyAlignment="1">
      <alignment horizontal="right" vertical="center"/>
    </xf>
    <xf numFmtId="179" fontId="9" fillId="0" borderId="45" xfId="2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left" vertical="center" shrinkToFit="1"/>
    </xf>
    <xf numFmtId="0" fontId="9" fillId="0" borderId="6" xfId="0" applyNumberFormat="1" applyFont="1" applyBorder="1" applyAlignment="1">
      <alignment horizontal="center" vertical="center"/>
    </xf>
    <xf numFmtId="41" fontId="9" fillId="0" borderId="38" xfId="2" applyNumberFormat="1" applyFont="1" applyFill="1" applyBorder="1" applyAlignment="1">
      <alignment horizontal="center" vertical="center"/>
    </xf>
    <xf numFmtId="41" fontId="9" fillId="0" borderId="38" xfId="2" applyNumberFormat="1" applyFont="1" applyBorder="1" applyAlignment="1">
      <alignment horizontal="center" vertical="center"/>
    </xf>
    <xf numFmtId="41" fontId="9" fillId="2" borderId="38" xfId="4" applyNumberFormat="1" applyFont="1" applyFill="1" applyBorder="1" applyAlignment="1">
      <alignment horizontal="center" vertical="center"/>
    </xf>
    <xf numFmtId="179" fontId="9" fillId="0" borderId="38" xfId="2" applyNumberFormat="1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41" fontId="9" fillId="0" borderId="31" xfId="2" applyNumberFormat="1" applyFont="1" applyFill="1" applyBorder="1" applyAlignment="1">
      <alignment horizontal="center" vertical="center"/>
    </xf>
    <xf numFmtId="41" fontId="9" fillId="0" borderId="31" xfId="2" applyNumberFormat="1" applyFont="1" applyBorder="1" applyAlignment="1">
      <alignment horizontal="center" vertical="center"/>
    </xf>
    <xf numFmtId="41" fontId="9" fillId="2" borderId="31" xfId="4" applyNumberFormat="1" applyFont="1" applyFill="1" applyBorder="1" applyAlignment="1">
      <alignment horizontal="center" vertical="center"/>
    </xf>
    <xf numFmtId="179" fontId="9" fillId="0" borderId="31" xfId="2" applyNumberFormat="1" applyFont="1" applyBorder="1" applyAlignment="1">
      <alignment vertical="center"/>
    </xf>
    <xf numFmtId="0" fontId="8" fillId="0" borderId="16" xfId="0" applyNumberFormat="1" applyFont="1" applyBorder="1" applyAlignment="1">
      <alignment horizontal="left" vertical="center"/>
    </xf>
    <xf numFmtId="0" fontId="8" fillId="0" borderId="56" xfId="0" applyNumberFormat="1" applyFont="1" applyBorder="1" applyAlignment="1">
      <alignment horizontal="left" vertical="center"/>
    </xf>
    <xf numFmtId="41" fontId="9" fillId="0" borderId="45" xfId="2" applyNumberFormat="1" applyFont="1" applyFill="1" applyBorder="1" applyAlignment="1">
      <alignment horizontal="center" vertical="center"/>
    </xf>
    <xf numFmtId="41" fontId="9" fillId="0" borderId="45" xfId="2" applyNumberFormat="1" applyFont="1" applyBorder="1" applyAlignment="1">
      <alignment horizontal="center" vertical="center"/>
    </xf>
    <xf numFmtId="41" fontId="9" fillId="2" borderId="45" xfId="4" applyNumberFormat="1" applyFont="1" applyFill="1" applyBorder="1" applyAlignment="1">
      <alignment horizontal="center" vertical="center"/>
    </xf>
    <xf numFmtId="179" fontId="9" fillId="0" borderId="45" xfId="2" applyNumberFormat="1" applyFont="1" applyBorder="1" applyAlignment="1">
      <alignment vertical="center"/>
    </xf>
    <xf numFmtId="3" fontId="8" fillId="0" borderId="0" xfId="0" applyNumberFormat="1" applyFont="1" applyBorder="1">
      <alignment vertical="center"/>
    </xf>
    <xf numFmtId="0" fontId="8" fillId="0" borderId="22" xfId="0" applyNumberFormat="1" applyFont="1" applyBorder="1" applyAlignment="1">
      <alignment horizontal="center" vertical="center" wrapText="1"/>
    </xf>
    <xf numFmtId="41" fontId="9" fillId="0" borderId="35" xfId="2" applyNumberFormat="1" applyFont="1" applyFill="1" applyBorder="1" applyAlignment="1">
      <alignment horizontal="center" vertical="center"/>
    </xf>
    <xf numFmtId="41" fontId="9" fillId="0" borderId="35" xfId="2" applyNumberFormat="1" applyFont="1" applyBorder="1" applyAlignment="1">
      <alignment horizontal="center" vertical="center"/>
    </xf>
    <xf numFmtId="41" fontId="9" fillId="2" borderId="35" xfId="4" applyNumberFormat="1" applyFont="1" applyFill="1" applyBorder="1" applyAlignment="1">
      <alignment horizontal="center" vertical="center"/>
    </xf>
    <xf numFmtId="178" fontId="9" fillId="0" borderId="35" xfId="2" applyNumberFormat="1" applyFont="1" applyBorder="1" applyAlignment="1">
      <alignment horizontal="right" vertical="center"/>
    </xf>
    <xf numFmtId="179" fontId="9" fillId="0" borderId="35" xfId="2" applyNumberFormat="1" applyFont="1" applyBorder="1" applyAlignment="1">
      <alignment vertical="center"/>
    </xf>
    <xf numFmtId="184" fontId="8" fillId="0" borderId="0" xfId="0" applyNumberFormat="1" applyFont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41" fontId="8" fillId="0" borderId="1" xfId="2" applyNumberFormat="1" applyFont="1" applyBorder="1">
      <alignment vertical="center"/>
    </xf>
    <xf numFmtId="0" fontId="8" fillId="0" borderId="1" xfId="0" applyNumberFormat="1" applyFont="1" applyBorder="1">
      <alignment vertical="center"/>
    </xf>
    <xf numFmtId="0" fontId="21" fillId="0" borderId="1" xfId="0" applyNumberFormat="1" applyFont="1" applyBorder="1" applyAlignment="1">
      <alignment horizontal="center" vertical="center"/>
    </xf>
    <xf numFmtId="183" fontId="8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/>
    </xf>
    <xf numFmtId="0" fontId="8" fillId="0" borderId="17" xfId="0" applyNumberFormat="1" applyFont="1" applyBorder="1">
      <alignment vertical="center"/>
    </xf>
    <xf numFmtId="41" fontId="9" fillId="2" borderId="48" xfId="4" applyNumberFormat="1" applyFont="1" applyFill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8" fillId="0" borderId="1" xfId="0" quotePrefix="1" applyNumberFormat="1" applyFont="1" applyBorder="1" applyAlignment="1">
      <alignment horizontal="center" vertical="center"/>
    </xf>
    <xf numFmtId="0" fontId="18" fillId="0" borderId="9" xfId="0" applyNumberFormat="1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left" vertical="center"/>
    </xf>
    <xf numFmtId="0" fontId="8" fillId="0" borderId="25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left" vertical="center"/>
    </xf>
    <xf numFmtId="0" fontId="8" fillId="0" borderId="27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26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left" vertical="center"/>
    </xf>
    <xf numFmtId="0" fontId="8" fillId="0" borderId="16" xfId="0" applyNumberFormat="1" applyFont="1" applyBorder="1">
      <alignment vertical="center"/>
    </xf>
    <xf numFmtId="0" fontId="16" fillId="0" borderId="2" xfId="0" applyNumberFormat="1" applyFont="1" applyBorder="1" applyAlignment="1">
      <alignment horizontal="left" vertical="center"/>
    </xf>
    <xf numFmtId="0" fontId="18" fillId="0" borderId="7" xfId="0" applyNumberFormat="1" applyFont="1" applyBorder="1" applyAlignment="1">
      <alignment horizontal="center" vertical="center"/>
    </xf>
    <xf numFmtId="0" fontId="18" fillId="0" borderId="25" xfId="0" applyNumberFormat="1" applyFont="1" applyBorder="1" applyAlignment="1">
      <alignment horizontal="center" vertical="center"/>
    </xf>
    <xf numFmtId="41" fontId="18" fillId="0" borderId="38" xfId="2" applyNumberFormat="1" applyFont="1" applyFill="1" applyBorder="1" applyAlignment="1">
      <alignment horizontal="center" vertical="center"/>
    </xf>
    <xf numFmtId="41" fontId="18" fillId="0" borderId="38" xfId="2" applyNumberFormat="1" applyFont="1" applyBorder="1" applyAlignment="1">
      <alignment horizontal="center" vertical="center"/>
    </xf>
    <xf numFmtId="41" fontId="18" fillId="2" borderId="38" xfId="4" applyNumberFormat="1" applyFont="1" applyFill="1" applyBorder="1" applyAlignment="1">
      <alignment horizontal="center" vertical="center"/>
    </xf>
    <xf numFmtId="178" fontId="18" fillId="0" borderId="38" xfId="2" applyNumberFormat="1" applyFont="1" applyBorder="1" applyAlignment="1">
      <alignment horizontal="right" vertical="center"/>
    </xf>
    <xf numFmtId="179" fontId="18" fillId="0" borderId="38" xfId="2" applyNumberFormat="1" applyFont="1" applyBorder="1" applyAlignment="1">
      <alignment vertical="center"/>
    </xf>
    <xf numFmtId="41" fontId="8" fillId="0" borderId="2" xfId="0" applyNumberFormat="1" applyFont="1" applyBorder="1">
      <alignment vertical="center"/>
    </xf>
    <xf numFmtId="9" fontId="9" fillId="0" borderId="9" xfId="1" applyNumberFormat="1" applyFont="1" applyBorder="1" applyAlignment="1">
      <alignment horizontal="center" vertical="center"/>
    </xf>
    <xf numFmtId="0" fontId="8" fillId="0" borderId="25" xfId="0" applyNumberFormat="1" applyFont="1" applyBorder="1" applyAlignment="1">
      <alignment horizontal="center" vertical="center" wrapText="1"/>
    </xf>
    <xf numFmtId="0" fontId="8" fillId="0" borderId="27" xfId="0" applyNumberFormat="1" applyFont="1" applyBorder="1" applyAlignment="1">
      <alignment horizontal="center" vertical="center" wrapText="1"/>
    </xf>
    <xf numFmtId="41" fontId="8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left" vertical="center" wrapText="1"/>
    </xf>
    <xf numFmtId="0" fontId="16" fillId="0" borderId="56" xfId="0" applyNumberFormat="1" applyFont="1" applyBorder="1" applyAlignment="1">
      <alignment horizontal="left" vertical="center"/>
    </xf>
    <xf numFmtId="41" fontId="16" fillId="0" borderId="2" xfId="2" applyNumberFormat="1" applyFont="1" applyBorder="1">
      <alignment vertical="center"/>
    </xf>
    <xf numFmtId="0" fontId="8" fillId="0" borderId="6" xfId="0" applyNumberFormat="1" applyFont="1" applyBorder="1">
      <alignment vertical="center"/>
    </xf>
    <xf numFmtId="0" fontId="8" fillId="0" borderId="9" xfId="0" applyNumberFormat="1" applyFont="1" applyBorder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41" fontId="8" fillId="0" borderId="0" xfId="2" applyNumberFormat="1" applyFont="1" applyFill="1" applyBorder="1">
      <alignment vertical="center"/>
    </xf>
    <xf numFmtId="0" fontId="8" fillId="0" borderId="0" xfId="0" applyNumberFormat="1" applyFont="1" applyFill="1" applyBorder="1">
      <alignment vertical="center"/>
    </xf>
    <xf numFmtId="0" fontId="21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quotePrefix="1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>
      <alignment vertical="center"/>
    </xf>
    <xf numFmtId="0" fontId="9" fillId="0" borderId="42" xfId="0" applyNumberFormat="1" applyFont="1" applyBorder="1" applyAlignment="1">
      <alignment horizontal="center" vertical="center"/>
    </xf>
    <xf numFmtId="0" fontId="18" fillId="0" borderId="9" xfId="0" applyNumberFormat="1" applyFont="1" applyBorder="1" applyAlignment="1">
      <alignment horizontal="center" vertical="center"/>
    </xf>
    <xf numFmtId="0" fontId="18" fillId="0" borderId="27" xfId="0" applyNumberFormat="1" applyFont="1" applyBorder="1" applyAlignment="1">
      <alignment horizontal="center" vertical="center"/>
    </xf>
    <xf numFmtId="41" fontId="18" fillId="0" borderId="31" xfId="2" applyNumberFormat="1" applyFont="1" applyFill="1" applyBorder="1" applyAlignment="1">
      <alignment horizontal="center" vertical="center"/>
    </xf>
    <xf numFmtId="41" fontId="18" fillId="0" borderId="31" xfId="2" applyNumberFormat="1" applyFont="1" applyBorder="1" applyAlignment="1">
      <alignment horizontal="center" vertical="center"/>
    </xf>
    <xf numFmtId="41" fontId="18" fillId="2" borderId="31" xfId="4" applyNumberFormat="1" applyFont="1" applyFill="1" applyBorder="1" applyAlignment="1">
      <alignment horizontal="center" vertical="center"/>
    </xf>
    <xf numFmtId="178" fontId="18" fillId="0" borderId="31" xfId="2" applyNumberFormat="1" applyFont="1" applyBorder="1" applyAlignment="1">
      <alignment horizontal="right" vertical="center"/>
    </xf>
    <xf numFmtId="179" fontId="18" fillId="0" borderId="31" xfId="2" applyNumberFormat="1" applyFont="1" applyBorder="1" applyAlignment="1">
      <alignment vertical="center"/>
    </xf>
    <xf numFmtId="41" fontId="16" fillId="0" borderId="0" xfId="2" applyNumberFormat="1" applyFont="1" applyBorder="1">
      <alignment vertical="center"/>
    </xf>
    <xf numFmtId="0" fontId="16" fillId="0" borderId="4" xfId="0" applyNumberFormat="1" applyFont="1" applyBorder="1">
      <alignment vertical="center"/>
    </xf>
    <xf numFmtId="0" fontId="8" fillId="0" borderId="2" xfId="0" applyNumberFormat="1" applyFont="1" applyBorder="1" applyAlignment="1">
      <alignment horizontal="left" vertical="center" shrinkToFit="1"/>
    </xf>
    <xf numFmtId="0" fontId="21" fillId="0" borderId="2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 shrinkToFit="1"/>
    </xf>
    <xf numFmtId="0" fontId="8" fillId="0" borderId="0" xfId="0" applyNumberFormat="1" applyFont="1" applyBorder="1" applyAlignment="1">
      <alignment horizontal="left" vertical="center" shrinkToFit="1"/>
    </xf>
    <xf numFmtId="0" fontId="8" fillId="0" borderId="16" xfId="0" applyNumberFormat="1" applyFont="1" applyBorder="1" applyAlignment="1">
      <alignment horizontal="left" vertical="center" shrinkToFit="1"/>
    </xf>
    <xf numFmtId="0" fontId="8" fillId="0" borderId="39" xfId="0" applyNumberFormat="1" applyFont="1" applyBorder="1" applyAlignment="1">
      <alignment horizontal="center" vertical="center" wrapText="1"/>
    </xf>
    <xf numFmtId="0" fontId="8" fillId="0" borderId="56" xfId="0" applyNumberFormat="1" applyFont="1" applyBorder="1" applyAlignment="1">
      <alignment horizontal="left" vertical="center" shrinkToFit="1"/>
    </xf>
    <xf numFmtId="0" fontId="9" fillId="0" borderId="15" xfId="0" applyNumberFormat="1" applyFont="1" applyBorder="1" applyAlignment="1">
      <alignment horizontal="center" vertical="center"/>
    </xf>
    <xf numFmtId="0" fontId="8" fillId="0" borderId="69" xfId="0" applyNumberFormat="1" applyFont="1" applyBorder="1" applyAlignment="1">
      <alignment horizontal="center" vertical="center" wrapText="1"/>
    </xf>
    <xf numFmtId="41" fontId="18" fillId="0" borderId="5" xfId="2" applyNumberFormat="1" applyFont="1" applyBorder="1" applyAlignment="1">
      <alignment horizontal="center" vertical="center"/>
    </xf>
    <xf numFmtId="0" fontId="18" fillId="0" borderId="13" xfId="0" applyNumberFormat="1" applyFont="1" applyBorder="1" applyAlignment="1">
      <alignment horizontal="center" vertical="center"/>
    </xf>
    <xf numFmtId="0" fontId="18" fillId="0" borderId="73" xfId="0" applyNumberFormat="1" applyFont="1" applyBorder="1" applyAlignment="1">
      <alignment horizontal="center" vertical="center"/>
    </xf>
    <xf numFmtId="41" fontId="18" fillId="0" borderId="57" xfId="2" applyNumberFormat="1" applyFont="1" applyBorder="1" applyAlignment="1">
      <alignment horizontal="center" vertical="center"/>
    </xf>
    <xf numFmtId="41" fontId="18" fillId="2" borderId="57" xfId="4" applyNumberFormat="1" applyFont="1" applyFill="1" applyBorder="1" applyAlignment="1">
      <alignment horizontal="center" vertical="center"/>
    </xf>
    <xf numFmtId="178" fontId="18" fillId="0" borderId="57" xfId="2" applyNumberFormat="1" applyFont="1" applyBorder="1" applyAlignment="1">
      <alignment horizontal="right" vertical="center"/>
    </xf>
    <xf numFmtId="179" fontId="18" fillId="0" borderId="57" xfId="2" applyNumberFormat="1" applyFont="1" applyBorder="1" applyAlignment="1">
      <alignment vertical="center"/>
    </xf>
    <xf numFmtId="0" fontId="8" fillId="0" borderId="58" xfId="0" applyNumberFormat="1" applyFont="1" applyBorder="1" applyAlignment="1">
      <alignment horizontal="left" vertical="center"/>
    </xf>
    <xf numFmtId="41" fontId="8" fillId="0" borderId="59" xfId="2" applyNumberFormat="1" applyFont="1" applyBorder="1">
      <alignment vertical="center"/>
    </xf>
    <xf numFmtId="0" fontId="8" fillId="0" borderId="59" xfId="0" applyNumberFormat="1" applyFont="1" applyBorder="1">
      <alignment vertical="center"/>
    </xf>
    <xf numFmtId="0" fontId="8" fillId="0" borderId="59" xfId="0" applyNumberFormat="1" applyFont="1" applyBorder="1" applyAlignment="1">
      <alignment horizontal="center" vertical="center"/>
    </xf>
    <xf numFmtId="0" fontId="8" fillId="0" borderId="68" xfId="0" applyNumberFormat="1" applyFont="1" applyBorder="1">
      <alignment vertical="center"/>
    </xf>
    <xf numFmtId="0" fontId="18" fillId="0" borderId="7" xfId="0" applyNumberFormat="1" applyFont="1" applyBorder="1" applyAlignment="1">
      <alignment horizontal="center" vertical="center" wrapText="1"/>
    </xf>
    <xf numFmtId="0" fontId="9" fillId="0" borderId="22" xfId="0" applyNumberFormat="1" applyFont="1" applyBorder="1" applyAlignment="1">
      <alignment horizontal="center" vertical="center"/>
    </xf>
    <xf numFmtId="41" fontId="9" fillId="0" borderId="35" xfId="2" applyNumberFormat="1" applyFont="1" applyFill="1" applyBorder="1" applyAlignment="1">
      <alignment horizontal="center" vertical="center"/>
    </xf>
    <xf numFmtId="41" fontId="12" fillId="2" borderId="35" xfId="4" applyNumberFormat="1" applyFont="1" applyFill="1" applyBorder="1" applyAlignment="1">
      <alignment horizontal="center" vertical="center"/>
    </xf>
    <xf numFmtId="178" fontId="9" fillId="0" borderId="35" xfId="2" applyNumberFormat="1" applyFont="1" applyBorder="1" applyAlignment="1">
      <alignment horizontal="right" vertical="center"/>
    </xf>
    <xf numFmtId="179" fontId="9" fillId="0" borderId="35" xfId="2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left" vertical="center"/>
    </xf>
    <xf numFmtId="41" fontId="8" fillId="0" borderId="3" xfId="2" applyNumberFormat="1" applyFont="1" applyBorder="1">
      <alignment vertical="center"/>
    </xf>
    <xf numFmtId="0" fontId="8" fillId="0" borderId="3" xfId="0" applyNumberFormat="1" applyFont="1" applyBorder="1">
      <alignment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18" fillId="0" borderId="9" xfId="0" applyNumberFormat="1" applyFont="1" applyBorder="1" applyAlignment="1">
      <alignment horizontal="center" vertical="center" wrapText="1"/>
    </xf>
    <xf numFmtId="41" fontId="9" fillId="0" borderId="38" xfId="4" applyNumberFormat="1" applyFont="1" applyFill="1" applyBorder="1" applyAlignment="1">
      <alignment horizontal="center" vertical="center" wrapText="1"/>
    </xf>
    <xf numFmtId="41" fontId="9" fillId="0" borderId="38" xfId="4" applyNumberFormat="1" applyFont="1" applyBorder="1" applyAlignment="1">
      <alignment horizontal="center" vertical="center" wrapText="1"/>
    </xf>
    <xf numFmtId="41" fontId="9" fillId="2" borderId="38" xfId="4" applyNumberFormat="1" applyFont="1" applyFill="1" applyBorder="1" applyAlignment="1">
      <alignment horizontal="center" vertical="center" wrapText="1"/>
    </xf>
    <xf numFmtId="178" fontId="9" fillId="0" borderId="38" xfId="4" applyNumberFormat="1" applyFont="1" applyBorder="1" applyAlignment="1">
      <alignment horizontal="right" vertical="center" wrapText="1"/>
    </xf>
    <xf numFmtId="179" fontId="9" fillId="0" borderId="38" xfId="4" applyNumberFormat="1" applyFont="1" applyBorder="1" applyAlignment="1">
      <alignment vertical="center" wrapText="1"/>
    </xf>
    <xf numFmtId="41" fontId="8" fillId="0" borderId="2" xfId="4" applyNumberFormat="1" applyFont="1" applyBorder="1">
      <alignment vertical="center"/>
    </xf>
    <xf numFmtId="41" fontId="9" fillId="0" borderId="31" xfId="4" applyNumberFormat="1" applyFont="1" applyFill="1" applyBorder="1" applyAlignment="1">
      <alignment horizontal="center" vertical="center" wrapText="1"/>
    </xf>
    <xf numFmtId="41" fontId="9" fillId="0" borderId="31" xfId="4" applyNumberFormat="1" applyFont="1" applyBorder="1" applyAlignment="1">
      <alignment horizontal="center" vertical="center" wrapText="1"/>
    </xf>
    <xf numFmtId="41" fontId="9" fillId="2" borderId="31" xfId="4" applyNumberFormat="1" applyFont="1" applyFill="1" applyBorder="1" applyAlignment="1">
      <alignment horizontal="center" vertical="center" wrapText="1"/>
    </xf>
    <xf numFmtId="178" fontId="9" fillId="0" borderId="31" xfId="4" applyNumberFormat="1" applyFont="1" applyBorder="1" applyAlignment="1">
      <alignment horizontal="right" vertical="center" wrapText="1"/>
    </xf>
    <xf numFmtId="179" fontId="9" fillId="0" borderId="31" xfId="4" applyNumberFormat="1" applyFont="1" applyBorder="1" applyAlignment="1">
      <alignment vertical="center" wrapText="1"/>
    </xf>
    <xf numFmtId="41" fontId="8" fillId="0" borderId="0" xfId="4" applyNumberFormat="1" applyFont="1" applyBorder="1">
      <alignment vertical="center"/>
    </xf>
    <xf numFmtId="0" fontId="8" fillId="0" borderId="26" xfId="0" applyNumberFormat="1" applyFont="1" applyBorder="1" applyAlignment="1">
      <alignment horizontal="center" vertical="center" wrapText="1"/>
    </xf>
    <xf numFmtId="41" fontId="9" fillId="0" borderId="45" xfId="4" applyNumberFormat="1" applyFont="1" applyFill="1" applyBorder="1" applyAlignment="1">
      <alignment horizontal="center" vertical="center" wrapText="1"/>
    </xf>
    <xf numFmtId="41" fontId="9" fillId="0" borderId="45" xfId="4" applyNumberFormat="1" applyFont="1" applyBorder="1" applyAlignment="1">
      <alignment horizontal="center" vertical="center" wrapText="1"/>
    </xf>
    <xf numFmtId="41" fontId="9" fillId="2" borderId="45" xfId="4" applyNumberFormat="1" applyFont="1" applyFill="1" applyBorder="1" applyAlignment="1">
      <alignment horizontal="center" vertical="center" wrapText="1"/>
    </xf>
    <xf numFmtId="178" fontId="9" fillId="0" borderId="45" xfId="4" applyNumberFormat="1" applyFont="1" applyBorder="1" applyAlignment="1">
      <alignment horizontal="right" vertical="center" wrapText="1"/>
    </xf>
    <xf numFmtId="179" fontId="9" fillId="0" borderId="45" xfId="4" applyNumberFormat="1" applyFont="1" applyBorder="1" applyAlignment="1">
      <alignment vertical="center" wrapText="1"/>
    </xf>
    <xf numFmtId="41" fontId="8" fillId="0" borderId="1" xfId="4" applyNumberFormat="1" applyFont="1" applyBorder="1">
      <alignment vertical="center"/>
    </xf>
    <xf numFmtId="0" fontId="8" fillId="0" borderId="25" xfId="0" applyNumberFormat="1" applyFont="1" applyBorder="1" applyAlignment="1">
      <alignment horizontal="center" vertical="center" wrapText="1" shrinkToFit="1"/>
    </xf>
    <xf numFmtId="41" fontId="9" fillId="0" borderId="38" xfId="4" applyNumberFormat="1" applyFont="1" applyFill="1" applyBorder="1" applyAlignment="1">
      <alignment horizontal="center" vertical="center"/>
    </xf>
    <xf numFmtId="41" fontId="9" fillId="0" borderId="38" xfId="4" applyNumberFormat="1" applyFont="1" applyBorder="1" applyAlignment="1">
      <alignment horizontal="center" vertical="center"/>
    </xf>
    <xf numFmtId="178" fontId="9" fillId="0" borderId="38" xfId="4" applyNumberFormat="1" applyFont="1" applyBorder="1" applyAlignment="1">
      <alignment horizontal="right" vertical="center"/>
    </xf>
    <xf numFmtId="179" fontId="9" fillId="0" borderId="38" xfId="4" applyNumberFormat="1" applyFont="1" applyBorder="1" applyAlignment="1">
      <alignment vertical="center"/>
    </xf>
    <xf numFmtId="0" fontId="8" fillId="0" borderId="27" xfId="0" applyNumberFormat="1" applyFont="1" applyBorder="1" applyAlignment="1">
      <alignment horizontal="center" vertical="center" shrinkToFit="1"/>
    </xf>
    <xf numFmtId="41" fontId="9" fillId="0" borderId="31" xfId="4" applyNumberFormat="1" applyFont="1" applyFill="1" applyBorder="1" applyAlignment="1">
      <alignment horizontal="center" vertical="center"/>
    </xf>
    <xf numFmtId="41" fontId="9" fillId="0" borderId="31" xfId="4" applyNumberFormat="1" applyFont="1" applyBorder="1" applyAlignment="1">
      <alignment horizontal="center" vertical="center"/>
    </xf>
    <xf numFmtId="178" fontId="9" fillId="0" borderId="31" xfId="4" applyNumberFormat="1" applyFont="1" applyBorder="1" applyAlignment="1">
      <alignment horizontal="right" vertical="center"/>
    </xf>
    <xf numFmtId="179" fontId="9" fillId="0" borderId="31" xfId="4" applyNumberFormat="1" applyFont="1" applyBorder="1" applyAlignment="1">
      <alignment vertical="center"/>
    </xf>
    <xf numFmtId="0" fontId="8" fillId="0" borderId="26" xfId="0" applyNumberFormat="1" applyFont="1" applyBorder="1" applyAlignment="1">
      <alignment horizontal="center" vertical="center" shrinkToFit="1"/>
    </xf>
    <xf numFmtId="41" fontId="9" fillId="0" borderId="45" xfId="4" applyNumberFormat="1" applyFont="1" applyFill="1" applyBorder="1" applyAlignment="1">
      <alignment horizontal="center" vertical="center"/>
    </xf>
    <xf numFmtId="41" fontId="9" fillId="0" borderId="45" xfId="4" applyNumberFormat="1" applyFont="1" applyBorder="1" applyAlignment="1">
      <alignment horizontal="center" vertical="center"/>
    </xf>
    <xf numFmtId="178" fontId="9" fillId="0" borderId="45" xfId="4" applyNumberFormat="1" applyFont="1" applyBorder="1" applyAlignment="1">
      <alignment horizontal="right" vertical="center"/>
    </xf>
    <xf numFmtId="179" fontId="9" fillId="0" borderId="45" xfId="4" applyNumberFormat="1" applyFont="1" applyBorder="1" applyAlignment="1">
      <alignment vertical="center"/>
    </xf>
    <xf numFmtId="0" fontId="8" fillId="0" borderId="1" xfId="0" applyNumberFormat="1" applyFont="1" applyBorder="1" applyAlignment="1">
      <alignment horizontal="left" vertical="center" shrinkToFit="1"/>
    </xf>
    <xf numFmtId="41" fontId="18" fillId="0" borderId="6" xfId="2" applyNumberFormat="1" applyFont="1" applyBorder="1" applyAlignment="1">
      <alignment horizontal="center" vertical="center"/>
    </xf>
    <xf numFmtId="0" fontId="8" fillId="0" borderId="41" xfId="0" applyNumberFormat="1" applyFont="1" applyBorder="1" applyAlignment="1">
      <alignment horizontal="center" vertical="center" wrapText="1"/>
    </xf>
    <xf numFmtId="0" fontId="8" fillId="0" borderId="55" xfId="0" applyNumberFormat="1" applyFont="1" applyFill="1" applyBorder="1" applyAlignment="1">
      <alignment horizontal="left" vertical="center"/>
    </xf>
    <xf numFmtId="41" fontId="8" fillId="0" borderId="1" xfId="4" applyNumberFormat="1" applyFont="1" applyFill="1" applyBorder="1">
      <alignment vertical="center"/>
    </xf>
    <xf numFmtId="0" fontId="8" fillId="0" borderId="1" xfId="0" applyNumberFormat="1" applyFont="1" applyFill="1" applyBorder="1">
      <alignment vertical="center"/>
    </xf>
    <xf numFmtId="0" fontId="21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quotePrefix="1" applyNumberFormat="1" applyFont="1" applyFill="1" applyBorder="1" applyAlignment="1">
      <alignment horizontal="center" vertical="center"/>
    </xf>
    <xf numFmtId="0" fontId="8" fillId="0" borderId="17" xfId="0" applyNumberFormat="1" applyFont="1" applyFill="1" applyBorder="1">
      <alignment vertical="center"/>
    </xf>
    <xf numFmtId="41" fontId="8" fillId="0" borderId="0" xfId="4" applyNumberFormat="1" applyFont="1" applyFill="1" applyBorder="1">
      <alignment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 shrinkToFit="1"/>
    </xf>
    <xf numFmtId="0" fontId="8" fillId="0" borderId="0" xfId="0" applyNumberFormat="1" applyFont="1" applyFill="1" applyBorder="1" applyAlignment="1">
      <alignment horizontal="left" vertical="center" wrapText="1" shrinkToFit="1"/>
    </xf>
    <xf numFmtId="0" fontId="8" fillId="0" borderId="55" xfId="0" applyNumberFormat="1" applyFont="1" applyFill="1" applyBorder="1" applyAlignment="1">
      <alignment horizontal="left" vertical="center" shrinkToFit="1"/>
    </xf>
    <xf numFmtId="0" fontId="12" fillId="0" borderId="26" xfId="0" applyNumberFormat="1" applyFont="1" applyBorder="1" applyAlignment="1">
      <alignment horizontal="center" vertical="center" wrapText="1"/>
    </xf>
    <xf numFmtId="41" fontId="9" fillId="0" borderId="45" xfId="2" applyNumberFormat="1" applyFont="1" applyFill="1" applyBorder="1" applyAlignment="1">
      <alignment vertical="center"/>
    </xf>
    <xf numFmtId="41" fontId="9" fillId="0" borderId="45" xfId="2" applyNumberFormat="1" applyFont="1" applyBorder="1" applyAlignment="1">
      <alignment vertical="center"/>
    </xf>
    <xf numFmtId="41" fontId="9" fillId="2" borderId="45" xfId="4" applyNumberFormat="1" applyFont="1" applyFill="1" applyBorder="1" applyAlignment="1">
      <alignment vertical="center"/>
    </xf>
    <xf numFmtId="178" fontId="9" fillId="0" borderId="45" xfId="2" applyNumberFormat="1" applyFont="1" applyBorder="1" applyAlignment="1">
      <alignment horizontal="right" vertical="center"/>
    </xf>
    <xf numFmtId="179" fontId="9" fillId="0" borderId="45" xfId="2" applyNumberFormat="1" applyFont="1" applyBorder="1" applyAlignment="1">
      <alignment vertical="center"/>
    </xf>
    <xf numFmtId="0" fontId="8" fillId="0" borderId="60" xfId="0" applyNumberFormat="1" applyFont="1" applyBorder="1" applyAlignment="1">
      <alignment horizontal="left" vertical="center"/>
    </xf>
    <xf numFmtId="41" fontId="8" fillId="0" borderId="3" xfId="0" applyNumberFormat="1" applyFont="1" applyBorder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22" xfId="0" applyNumberFormat="1" applyFont="1" applyBorder="1" applyAlignment="1">
      <alignment horizontal="center" vertical="center"/>
    </xf>
    <xf numFmtId="179" fontId="9" fillId="0" borderId="38" xfId="4" applyNumberFormat="1" applyFont="1" applyBorder="1" applyAlignment="1">
      <alignment horizontal="right" vertical="center"/>
    </xf>
    <xf numFmtId="179" fontId="9" fillId="0" borderId="31" xfId="4" applyNumberFormat="1" applyFont="1" applyBorder="1" applyAlignment="1">
      <alignment horizontal="right" vertical="center"/>
    </xf>
    <xf numFmtId="0" fontId="9" fillId="0" borderId="9" xfId="0" applyNumberFormat="1" applyFont="1" applyBorder="1" applyAlignment="1">
      <alignment horizontal="center" vertical="center" shrinkToFit="1"/>
    </xf>
    <xf numFmtId="179" fontId="9" fillId="0" borderId="45" xfId="4" applyNumberFormat="1" applyFont="1" applyBorder="1" applyAlignment="1">
      <alignment horizontal="right" vertical="center"/>
    </xf>
    <xf numFmtId="179" fontId="9" fillId="0" borderId="56" xfId="4" applyNumberFormat="1" applyFont="1" applyBorder="1" applyAlignment="1">
      <alignment vertical="center"/>
    </xf>
    <xf numFmtId="41" fontId="9" fillId="2" borderId="38" xfId="4" applyNumberFormat="1" applyFont="1" applyFill="1" applyBorder="1" applyAlignment="1">
      <alignment vertical="center"/>
    </xf>
    <xf numFmtId="179" fontId="9" fillId="0" borderId="16" xfId="4" applyNumberFormat="1" applyFont="1" applyBorder="1" applyAlignment="1">
      <alignment vertical="center"/>
    </xf>
    <xf numFmtId="179" fontId="9" fillId="0" borderId="55" xfId="4" applyNumberFormat="1" applyFont="1" applyBorder="1" applyAlignment="1">
      <alignment vertical="center"/>
    </xf>
    <xf numFmtId="178" fontId="8" fillId="0" borderId="1" xfId="4" applyNumberFormat="1" applyFont="1" applyBorder="1">
      <alignment vertical="center"/>
    </xf>
    <xf numFmtId="0" fontId="18" fillId="0" borderId="8" xfId="0" applyNumberFormat="1" applyFont="1" applyBorder="1" applyAlignment="1">
      <alignment horizontal="center" vertical="center" wrapText="1"/>
    </xf>
    <xf numFmtId="0" fontId="8" fillId="0" borderId="27" xfId="0" applyNumberFormat="1" applyFont="1" applyBorder="1" applyAlignment="1">
      <alignment horizontal="center" vertical="center"/>
    </xf>
    <xf numFmtId="41" fontId="9" fillId="0" borderId="31" xfId="4" applyNumberFormat="1" applyFont="1" applyFill="1" applyBorder="1" applyAlignment="1">
      <alignment horizontal="center" vertical="center"/>
    </xf>
    <xf numFmtId="178" fontId="9" fillId="0" borderId="31" xfId="4" applyNumberFormat="1" applyFont="1" applyBorder="1" applyAlignment="1">
      <alignment horizontal="right" vertical="center"/>
    </xf>
    <xf numFmtId="179" fontId="9" fillId="0" borderId="31" xfId="4" applyNumberFormat="1" applyFont="1" applyBorder="1" applyAlignment="1">
      <alignment vertical="center" shrinkToFit="1"/>
    </xf>
    <xf numFmtId="0" fontId="16" fillId="0" borderId="0" xfId="0" applyNumberFormat="1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center" vertical="center" wrapText="1"/>
    </xf>
    <xf numFmtId="0" fontId="9" fillId="0" borderId="39" xfId="0" applyNumberFormat="1" applyFont="1" applyBorder="1" applyAlignment="1">
      <alignment horizontal="center" vertical="center"/>
    </xf>
    <xf numFmtId="0" fontId="9" fillId="0" borderId="69" xfId="0" applyNumberFormat="1" applyFont="1" applyBorder="1" applyAlignment="1">
      <alignment horizontal="center" vertical="center"/>
    </xf>
    <xf numFmtId="0" fontId="11" fillId="0" borderId="16" xfId="0" applyNumberFormat="1" applyFont="1" applyBorder="1" applyAlignment="1">
      <alignment horizontal="left" vertical="center"/>
    </xf>
    <xf numFmtId="0" fontId="9" fillId="0" borderId="41" xfId="0" applyNumberFormat="1" applyFont="1" applyBorder="1" applyAlignment="1">
      <alignment horizontal="center" vertical="center"/>
    </xf>
    <xf numFmtId="0" fontId="11" fillId="0" borderId="55" xfId="0" applyNumberFormat="1" applyFont="1" applyBorder="1" applyAlignment="1">
      <alignment horizontal="left" vertical="center"/>
    </xf>
    <xf numFmtId="0" fontId="9" fillId="0" borderId="16" xfId="0" applyNumberFormat="1" applyFont="1" applyBorder="1">
      <alignment vertical="center"/>
    </xf>
    <xf numFmtId="0" fontId="16" fillId="0" borderId="7" xfId="0" applyNumberFormat="1" applyFont="1" applyBorder="1" applyAlignment="1">
      <alignment horizontal="center" vertical="center"/>
    </xf>
    <xf numFmtId="0" fontId="21" fillId="0" borderId="3" xfId="0" applyNumberFormat="1" applyFont="1" applyBorder="1" applyAlignment="1">
      <alignment horizontal="center" vertical="center"/>
    </xf>
    <xf numFmtId="0" fontId="8" fillId="0" borderId="3" xfId="0" quotePrefix="1" applyNumberFormat="1" applyFont="1" applyBorder="1" applyAlignment="1">
      <alignment horizontal="center" vertical="center"/>
    </xf>
    <xf numFmtId="0" fontId="16" fillId="0" borderId="9" xfId="0" applyNumberFormat="1" applyFont="1" applyBorder="1" applyAlignment="1">
      <alignment horizontal="center" vertical="center"/>
    </xf>
    <xf numFmtId="0" fontId="16" fillId="0" borderId="27" xfId="0" applyNumberFormat="1" applyFont="1" applyBorder="1" applyAlignment="1">
      <alignment horizontal="left" vertical="center"/>
    </xf>
    <xf numFmtId="41" fontId="16" fillId="0" borderId="0" xfId="4" applyNumberFormat="1" applyFont="1" applyBorder="1">
      <alignment vertical="center"/>
    </xf>
    <xf numFmtId="0" fontId="16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0" xfId="0" quotePrefix="1" applyNumberFormat="1" applyFont="1" applyBorder="1" applyAlignment="1">
      <alignment horizontal="center" vertical="center"/>
    </xf>
    <xf numFmtId="0" fontId="8" fillId="0" borderId="69" xfId="0" applyNumberFormat="1" applyFont="1" applyBorder="1" applyAlignment="1">
      <alignment vertical="center"/>
    </xf>
    <xf numFmtId="41" fontId="9" fillId="0" borderId="31" xfId="4" applyNumberFormat="1" applyFont="1" applyFill="1" applyBorder="1" applyAlignment="1">
      <alignment vertical="center"/>
    </xf>
    <xf numFmtId="41" fontId="9" fillId="0" borderId="31" xfId="4" applyNumberFormat="1" applyFont="1" applyBorder="1" applyAlignment="1">
      <alignment vertical="center"/>
    </xf>
    <xf numFmtId="178" fontId="9" fillId="0" borderId="31" xfId="4" applyNumberFormat="1" applyFont="1" applyBorder="1" applyAlignment="1">
      <alignment vertical="center"/>
    </xf>
    <xf numFmtId="179" fontId="9" fillId="0" borderId="31" xfId="4" applyNumberFormat="1" applyFont="1" applyBorder="1" applyAlignment="1">
      <alignment vertical="center"/>
    </xf>
    <xf numFmtId="0" fontId="16" fillId="0" borderId="16" xfId="0" applyNumberFormat="1" applyFont="1" applyBorder="1" applyAlignment="1">
      <alignment horizontal="left" vertical="center"/>
    </xf>
    <xf numFmtId="41" fontId="9" fillId="0" borderId="16" xfId="2" applyNumberFormat="1" applyFont="1" applyBorder="1" applyAlignment="1">
      <alignment horizontal="center" vertical="center"/>
    </xf>
    <xf numFmtId="41" fontId="9" fillId="0" borderId="31" xfId="4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 wrapText="1"/>
    </xf>
    <xf numFmtId="0" fontId="8" fillId="0" borderId="27" xfId="0" applyNumberFormat="1" applyFont="1" applyBorder="1" applyAlignment="1">
      <alignment horizontal="left" vertical="center" wrapText="1"/>
    </xf>
    <xf numFmtId="0" fontId="18" fillId="0" borderId="11" xfId="0" applyNumberFormat="1" applyFont="1" applyBorder="1" applyAlignment="1">
      <alignment horizontal="center" vertical="center"/>
    </xf>
    <xf numFmtId="0" fontId="8" fillId="0" borderId="55" xfId="0" applyNumberFormat="1" applyFont="1" applyFill="1" applyBorder="1" applyAlignment="1">
      <alignment horizontal="left" vertical="center" wrapText="1"/>
    </xf>
    <xf numFmtId="0" fontId="9" fillId="0" borderId="22" xfId="0" applyNumberFormat="1" applyFont="1" applyBorder="1" applyAlignment="1">
      <alignment horizontal="center" vertical="center" wrapText="1"/>
    </xf>
    <xf numFmtId="41" fontId="9" fillId="0" borderId="35" xfId="2" applyNumberFormat="1" applyFont="1" applyFill="1" applyBorder="1" applyAlignment="1">
      <alignment vertical="center"/>
    </xf>
    <xf numFmtId="41" fontId="9" fillId="0" borderId="35" xfId="2" applyNumberFormat="1" applyFont="1" applyBorder="1" applyAlignment="1">
      <alignment vertical="center"/>
    </xf>
    <xf numFmtId="41" fontId="9" fillId="2" borderId="35" xfId="4" applyNumberFormat="1" applyFont="1" applyFill="1" applyBorder="1" applyAlignment="1">
      <alignment vertical="center"/>
    </xf>
    <xf numFmtId="0" fontId="9" fillId="0" borderId="39" xfId="0" applyNumberFormat="1" applyFont="1" applyBorder="1" applyAlignment="1">
      <alignment horizontal="center" vertical="center" wrapText="1"/>
    </xf>
    <xf numFmtId="0" fontId="16" fillId="0" borderId="4" xfId="0" applyNumberFormat="1" applyFont="1" applyFill="1" applyBorder="1">
      <alignment vertical="center"/>
    </xf>
    <xf numFmtId="0" fontId="9" fillId="0" borderId="69" xfId="0" applyNumberFormat="1" applyFont="1" applyBorder="1" applyAlignment="1">
      <alignment horizontal="center" vertical="center" wrapText="1"/>
    </xf>
    <xf numFmtId="0" fontId="16" fillId="0" borderId="27" xfId="0" quotePrefix="1" applyNumberFormat="1" applyFont="1" applyFill="1" applyBorder="1" applyAlignment="1">
      <alignment horizontal="left" vertical="center" wrapText="1"/>
    </xf>
    <xf numFmtId="41" fontId="16" fillId="0" borderId="0" xfId="4" applyNumberFormat="1" applyFont="1" applyFill="1" applyBorder="1">
      <alignment vertical="center"/>
    </xf>
    <xf numFmtId="0" fontId="16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16" fillId="0" borderId="0" xfId="0" quotePrefix="1" applyNumberFormat="1" applyFont="1" applyFill="1" applyBorder="1" applyAlignment="1">
      <alignment horizontal="center" vertical="center"/>
    </xf>
    <xf numFmtId="0" fontId="9" fillId="0" borderId="6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16" fillId="0" borderId="27" xfId="0" quotePrefix="1" applyNumberFormat="1" applyFont="1" applyBorder="1" applyAlignment="1">
      <alignment horizontal="left" vertical="center" wrapText="1"/>
    </xf>
    <xf numFmtId="0" fontId="9" fillId="0" borderId="0" xfId="0" applyNumberFormat="1" applyFont="1" applyBorder="1">
      <alignment vertical="center"/>
    </xf>
    <xf numFmtId="0" fontId="8" fillId="0" borderId="9" xfId="0" applyNumberFormat="1" applyFont="1" applyBorder="1" applyAlignment="1">
      <alignment horizontal="center" vertical="center"/>
    </xf>
    <xf numFmtId="0" fontId="16" fillId="0" borderId="16" xfId="0" quotePrefix="1" applyNumberFormat="1" applyFont="1" applyBorder="1" applyAlignment="1">
      <alignment horizontal="left" vertical="center" wrapText="1"/>
    </xf>
    <xf numFmtId="0" fontId="16" fillId="0" borderId="0" xfId="0" quotePrefix="1" applyNumberFormat="1" applyFont="1" applyBorder="1" applyAlignment="1">
      <alignment horizontal="left" vertical="center" wrapText="1"/>
    </xf>
    <xf numFmtId="0" fontId="8" fillId="0" borderId="25" xfId="0" applyNumberFormat="1" applyFont="1" applyBorder="1" applyAlignment="1">
      <alignment horizontal="left" vertical="center" wrapText="1"/>
    </xf>
    <xf numFmtId="0" fontId="8" fillId="0" borderId="27" xfId="0" quotePrefix="1" applyNumberFormat="1" applyFont="1" applyBorder="1" applyAlignment="1">
      <alignment horizontal="left" vertical="center"/>
    </xf>
    <xf numFmtId="0" fontId="8" fillId="0" borderId="16" xfId="0" quotePrefix="1" applyNumberFormat="1" applyFont="1" applyBorder="1" applyAlignment="1">
      <alignment horizontal="left" vertical="center"/>
    </xf>
    <xf numFmtId="0" fontId="9" fillId="0" borderId="25" xfId="0" applyNumberFormat="1" applyFont="1" applyBorder="1" applyAlignment="1">
      <alignment horizontal="center" vertical="center"/>
    </xf>
    <xf numFmtId="41" fontId="9" fillId="0" borderId="38" xfId="2" applyNumberFormat="1" applyFont="1" applyFill="1" applyBorder="1" applyAlignment="1">
      <alignment horizontal="center" vertical="center"/>
    </xf>
    <xf numFmtId="41" fontId="9" fillId="0" borderId="38" xfId="2" applyNumberFormat="1" applyFont="1" applyBorder="1" applyAlignment="1">
      <alignment horizontal="center" vertical="center"/>
    </xf>
    <xf numFmtId="178" fontId="9" fillId="0" borderId="38" xfId="2" applyNumberFormat="1" applyFont="1" applyBorder="1" applyAlignment="1">
      <alignment horizontal="right" vertical="center"/>
    </xf>
    <xf numFmtId="179" fontId="9" fillId="0" borderId="38" xfId="2" applyNumberFormat="1" applyFont="1" applyBorder="1" applyAlignment="1">
      <alignment vertical="center"/>
    </xf>
    <xf numFmtId="0" fontId="8" fillId="0" borderId="2" xfId="0" quotePrefix="1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 wrapText="1"/>
    </xf>
    <xf numFmtId="0" fontId="9" fillId="0" borderId="27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/>
    </xf>
    <xf numFmtId="0" fontId="9" fillId="0" borderId="26" xfId="0" applyNumberFormat="1" applyFont="1" applyBorder="1" applyAlignment="1">
      <alignment horizontal="center" vertical="center"/>
    </xf>
    <xf numFmtId="0" fontId="9" fillId="0" borderId="41" xfId="0" applyNumberFormat="1" applyFont="1" applyBorder="1" applyAlignment="1">
      <alignment horizontal="center" vertical="center" wrapText="1"/>
    </xf>
    <xf numFmtId="41" fontId="18" fillId="0" borderId="16" xfId="2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top" wrapText="1"/>
    </xf>
    <xf numFmtId="0" fontId="8" fillId="0" borderId="16" xfId="0" applyNumberFormat="1" applyFont="1" applyFill="1" applyBorder="1" applyAlignment="1">
      <alignment horizontal="left" vertical="center"/>
    </xf>
    <xf numFmtId="0" fontId="18" fillId="0" borderId="16" xfId="0" applyNumberFormat="1" applyFont="1" applyBorder="1">
      <alignment vertical="center"/>
    </xf>
    <xf numFmtId="41" fontId="9" fillId="0" borderId="35" xfId="2" applyNumberFormat="1" applyFont="1" applyBorder="1" applyAlignment="1">
      <alignment horizontal="center" vertical="center"/>
    </xf>
    <xf numFmtId="41" fontId="16" fillId="0" borderId="3" xfId="2" applyNumberFormat="1" applyFont="1" applyBorder="1">
      <alignment vertical="center"/>
    </xf>
    <xf numFmtId="0" fontId="8" fillId="0" borderId="55" xfId="0" applyNumberFormat="1" applyFont="1" applyFill="1" applyBorder="1" applyAlignment="1">
      <alignment vertical="center"/>
    </xf>
    <xf numFmtId="0" fontId="9" fillId="0" borderId="20" xfId="0" applyNumberFormat="1" applyFont="1" applyBorder="1" applyAlignment="1">
      <alignment horizontal="center" vertical="center" wrapText="1"/>
    </xf>
    <xf numFmtId="178" fontId="9" fillId="0" borderId="35" xfId="0" applyNumberFormat="1" applyFont="1" applyBorder="1" applyAlignment="1">
      <alignment horizontal="right" vertical="center"/>
    </xf>
    <xf numFmtId="178" fontId="9" fillId="2" borderId="35" xfId="0" applyNumberFormat="1" applyFont="1" applyFill="1" applyBorder="1" applyAlignment="1">
      <alignment horizontal="right" vertical="center"/>
    </xf>
    <xf numFmtId="41" fontId="8" fillId="0" borderId="2" xfId="4" applyNumberFormat="1" applyFont="1" applyFill="1" applyBorder="1">
      <alignment vertical="center"/>
    </xf>
    <xf numFmtId="0" fontId="8" fillId="0" borderId="2" xfId="0" applyNumberFormat="1" applyFont="1" applyFill="1" applyBorder="1">
      <alignment vertical="center"/>
    </xf>
    <xf numFmtId="0" fontId="21" fillId="0" borderId="2" xfId="0" applyNumberFormat="1" applyFont="1" applyFill="1" applyBorder="1" applyAlignment="1">
      <alignment horizontal="center" vertical="center"/>
    </xf>
    <xf numFmtId="0" fontId="8" fillId="0" borderId="19" xfId="0" applyNumberFormat="1" applyFont="1" applyFill="1" applyBorder="1">
      <alignment vertical="center"/>
    </xf>
    <xf numFmtId="0" fontId="18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41" fontId="9" fillId="2" borderId="60" xfId="4" applyNumberFormat="1" applyFont="1" applyFill="1" applyBorder="1" applyAlignment="1">
      <alignment horizontal="center" vertical="center"/>
    </xf>
    <xf numFmtId="0" fontId="16" fillId="0" borderId="18" xfId="0" applyNumberFormat="1" applyFont="1" applyBorder="1">
      <alignment vertical="center"/>
    </xf>
    <xf numFmtId="0" fontId="9" fillId="0" borderId="9" xfId="0" applyNumberFormat="1" applyFont="1" applyFill="1" applyBorder="1" applyAlignment="1">
      <alignment horizontal="center" vertical="center"/>
    </xf>
    <xf numFmtId="0" fontId="8" fillId="0" borderId="25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 wrapText="1"/>
    </xf>
    <xf numFmtId="0" fontId="9" fillId="0" borderId="11" xfId="0" applyNumberFormat="1" applyFont="1" applyFill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 wrapText="1"/>
    </xf>
    <xf numFmtId="41" fontId="9" fillId="0" borderId="31" xfId="2" applyNumberFormat="1" applyFont="1" applyFill="1" applyBorder="1" applyAlignment="1">
      <alignment horizontal="center" vertical="center"/>
    </xf>
    <xf numFmtId="41" fontId="9" fillId="0" borderId="31" xfId="2" applyNumberFormat="1" applyFont="1" applyBorder="1" applyAlignment="1">
      <alignment horizontal="center" vertical="center"/>
    </xf>
    <xf numFmtId="178" fontId="9" fillId="0" borderId="31" xfId="2" applyNumberFormat="1" applyFont="1" applyBorder="1" applyAlignment="1">
      <alignment horizontal="right" vertical="center"/>
    </xf>
    <xf numFmtId="179" fontId="9" fillId="0" borderId="31" xfId="2" applyNumberFormat="1" applyFont="1" applyBorder="1" applyAlignment="1">
      <alignment vertical="center"/>
    </xf>
    <xf numFmtId="0" fontId="21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3" xfId="0" quotePrefix="1" applyNumberFormat="1" applyFont="1" applyFill="1" applyBorder="1" applyAlignment="1">
      <alignment horizontal="center" vertical="center"/>
    </xf>
    <xf numFmtId="41" fontId="8" fillId="0" borderId="3" xfId="4" applyNumberFormat="1" applyFont="1" applyFill="1" applyBorder="1">
      <alignment vertical="center"/>
    </xf>
    <xf numFmtId="0" fontId="8" fillId="0" borderId="18" xfId="0" applyNumberFormat="1" applyFont="1" applyFill="1" applyBorder="1">
      <alignment vertical="center"/>
    </xf>
    <xf numFmtId="0" fontId="9" fillId="0" borderId="9" xfId="0" applyNumberFormat="1" applyFont="1" applyBorder="1" applyAlignment="1">
      <alignment vertical="center"/>
    </xf>
    <xf numFmtId="0" fontId="8" fillId="0" borderId="56" xfId="0" applyNumberFormat="1" applyFont="1" applyFill="1" applyBorder="1" applyAlignment="1">
      <alignment horizontal="left" vertical="center"/>
    </xf>
    <xf numFmtId="41" fontId="8" fillId="0" borderId="2" xfId="0" applyNumberFormat="1" applyFont="1" applyFill="1" applyBorder="1">
      <alignment vertical="center"/>
    </xf>
    <xf numFmtId="0" fontId="9" fillId="0" borderId="31" xfId="0" applyNumberFormat="1" applyFont="1" applyFill="1" applyBorder="1" applyAlignment="1">
      <alignment horizontal="center" vertical="center"/>
    </xf>
    <xf numFmtId="0" fontId="9" fillId="0" borderId="31" xfId="0" applyNumberFormat="1" applyFont="1" applyBorder="1" applyAlignment="1">
      <alignment horizontal="center" vertical="center"/>
    </xf>
    <xf numFmtId="178" fontId="9" fillId="0" borderId="31" xfId="0" applyNumberFormat="1" applyFont="1" applyBorder="1" applyAlignment="1">
      <alignment horizontal="right" vertical="center"/>
    </xf>
    <xf numFmtId="179" fontId="9" fillId="0" borderId="31" xfId="0" applyNumberFormat="1" applyFont="1" applyBorder="1" applyAlignment="1">
      <alignment vertical="center"/>
    </xf>
    <xf numFmtId="0" fontId="8" fillId="0" borderId="16" xfId="0" applyNumberFormat="1" applyFont="1" applyFill="1" applyBorder="1" applyAlignment="1">
      <alignment horizontal="left" vertical="center" shrinkToFit="1"/>
    </xf>
    <xf numFmtId="0" fontId="9" fillId="0" borderId="20" xfId="0" applyNumberFormat="1" applyFont="1" applyBorder="1" applyAlignment="1">
      <alignment horizontal="center" vertical="center"/>
    </xf>
    <xf numFmtId="0" fontId="18" fillId="0" borderId="27" xfId="0" applyNumberFormat="1" applyFont="1" applyBorder="1" applyAlignment="1">
      <alignment horizontal="center" vertical="center"/>
    </xf>
    <xf numFmtId="0" fontId="8" fillId="0" borderId="56" xfId="0" applyNumberFormat="1" applyFont="1" applyBorder="1" applyAlignment="1">
      <alignment horizontal="left" vertical="center"/>
    </xf>
    <xf numFmtId="0" fontId="8" fillId="0" borderId="2" xfId="0" applyNumberFormat="1" applyFont="1" applyBorder="1" applyAlignment="1">
      <alignment horizontal="left" vertical="center"/>
    </xf>
    <xf numFmtId="0" fontId="9" fillId="0" borderId="26" xfId="0" applyNumberFormat="1" applyFont="1" applyBorder="1" applyAlignment="1">
      <alignment horizontal="center" vertical="center"/>
    </xf>
    <xf numFmtId="0" fontId="18" fillId="0" borderId="24" xfId="0" applyNumberFormat="1" applyFont="1" applyBorder="1" applyAlignment="1">
      <alignment horizontal="center"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18" xfId="0" applyNumberFormat="1" applyFont="1" applyBorder="1" applyAlignment="1">
      <alignment horizontal="center" vertical="center"/>
    </xf>
    <xf numFmtId="179" fontId="18" fillId="0" borderId="35" xfId="2" applyNumberFormat="1" applyFont="1" applyBorder="1" applyAlignment="1">
      <alignment vertical="center"/>
    </xf>
    <xf numFmtId="0" fontId="16" fillId="0" borderId="19" xfId="0" applyNumberFormat="1" applyFont="1" applyBorder="1">
      <alignment vertical="center"/>
    </xf>
    <xf numFmtId="41" fontId="18" fillId="0" borderId="24" xfId="2" applyNumberFormat="1" applyFont="1" applyBorder="1" applyAlignment="1">
      <alignment horizontal="center" vertical="center"/>
    </xf>
    <xf numFmtId="0" fontId="18" fillId="0" borderId="7" xfId="0" applyNumberFormat="1" applyFont="1" applyBorder="1" applyAlignment="1">
      <alignment vertical="top" shrinkToFit="1"/>
    </xf>
    <xf numFmtId="0" fontId="9" fillId="0" borderId="69" xfId="0" applyNumberFormat="1" applyFont="1" applyFill="1" applyBorder="1" applyAlignment="1">
      <alignment horizontal="center" vertical="center" wrapText="1"/>
    </xf>
    <xf numFmtId="0" fontId="18" fillId="0" borderId="9" xfId="0" applyNumberFormat="1" applyFont="1" applyBorder="1" applyAlignment="1">
      <alignment vertical="top"/>
    </xf>
    <xf numFmtId="0" fontId="9" fillId="0" borderId="41" xfId="0" applyNumberFormat="1" applyFont="1" applyFill="1" applyBorder="1" applyAlignment="1">
      <alignment horizontal="center" vertical="center" wrapText="1"/>
    </xf>
    <xf numFmtId="41" fontId="18" fillId="0" borderId="57" xfId="2" applyNumberFormat="1" applyFont="1" applyFill="1" applyBorder="1" applyAlignment="1">
      <alignment horizontal="center" vertical="center"/>
    </xf>
    <xf numFmtId="0" fontId="8" fillId="0" borderId="59" xfId="0" applyNumberFormat="1" applyFont="1" applyBorder="1" applyAlignment="1">
      <alignment horizontal="left" vertical="center"/>
    </xf>
    <xf numFmtId="0" fontId="8" fillId="0" borderId="20" xfId="0" applyNumberFormat="1" applyFont="1" applyFill="1" applyBorder="1" applyAlignment="1">
      <alignment horizontal="center" vertical="center"/>
    </xf>
    <xf numFmtId="41" fontId="9" fillId="0" borderId="35" xfId="2" applyNumberFormat="1" applyFont="1" applyBorder="1">
      <alignment vertical="center"/>
    </xf>
    <xf numFmtId="41" fontId="9" fillId="2" borderId="35" xfId="2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 shrinkToFi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41" xfId="0" applyNumberFormat="1" applyFont="1" applyFill="1" applyBorder="1" applyAlignment="1">
      <alignment horizontal="center" vertical="center"/>
    </xf>
    <xf numFmtId="41" fontId="9" fillId="0" borderId="45" xfId="2" applyNumberFormat="1" applyFont="1" applyBorder="1">
      <alignment vertical="center"/>
    </xf>
    <xf numFmtId="41" fontId="9" fillId="0" borderId="45" xfId="2" applyNumberFormat="1" applyFont="1" applyFill="1" applyBorder="1" applyAlignment="1">
      <alignment horizontal="center" vertical="center"/>
    </xf>
    <xf numFmtId="41" fontId="9" fillId="2" borderId="45" xfId="2" applyNumberFormat="1" applyFont="1" applyFill="1" applyBorder="1" applyAlignment="1">
      <alignment horizontal="center" vertical="center"/>
    </xf>
    <xf numFmtId="0" fontId="8" fillId="0" borderId="41" xfId="0" applyNumberFormat="1" applyFont="1" applyFill="1" applyBorder="1" applyAlignment="1">
      <alignment horizontal="center" vertical="center" shrinkToFit="1"/>
    </xf>
    <xf numFmtId="0" fontId="8" fillId="0" borderId="39" xfId="0" applyNumberFormat="1" applyFont="1" applyFill="1" applyBorder="1" applyAlignment="1">
      <alignment horizontal="center" vertical="center" wrapText="1"/>
    </xf>
    <xf numFmtId="41" fontId="9" fillId="2" borderId="38" xfId="2" applyNumberFormat="1" applyFont="1" applyFill="1" applyBorder="1" applyAlignment="1">
      <alignment horizontal="center" vertical="center"/>
    </xf>
    <xf numFmtId="0" fontId="8" fillId="0" borderId="69" xfId="0" applyNumberFormat="1" applyFont="1" applyFill="1" applyBorder="1" applyAlignment="1">
      <alignment horizontal="center" vertical="center" wrapText="1"/>
    </xf>
    <xf numFmtId="41" fontId="9" fillId="2" borderId="31" xfId="2" applyNumberFormat="1" applyFont="1" applyFill="1" applyBorder="1" applyAlignment="1">
      <alignment horizontal="center" vertical="center"/>
    </xf>
    <xf numFmtId="0" fontId="8" fillId="0" borderId="39" xfId="0" applyNumberFormat="1" applyFont="1" applyFill="1" applyBorder="1" applyAlignment="1">
      <alignment horizontal="center" vertical="center" shrinkToFit="1"/>
    </xf>
    <xf numFmtId="0" fontId="11" fillId="0" borderId="20" xfId="0" applyNumberFormat="1" applyFont="1" applyFill="1" applyBorder="1" applyAlignment="1">
      <alignment horizontal="center" vertical="center" wrapText="1"/>
    </xf>
    <xf numFmtId="0" fontId="11" fillId="0" borderId="41" xfId="0" applyNumberFormat="1" applyFont="1" applyFill="1" applyBorder="1" applyAlignment="1">
      <alignment horizontal="center" vertical="center" wrapText="1"/>
    </xf>
    <xf numFmtId="0" fontId="8" fillId="0" borderId="41" xfId="0" applyNumberFormat="1" applyFont="1" applyFill="1" applyBorder="1" applyAlignment="1">
      <alignment horizontal="center" vertical="center" wrapText="1"/>
    </xf>
    <xf numFmtId="0" fontId="8" fillId="0" borderId="39" xfId="0" applyNumberFormat="1" applyFont="1" applyFill="1" applyBorder="1" applyAlignment="1">
      <alignment horizontal="center" vertical="center"/>
    </xf>
    <xf numFmtId="0" fontId="11" fillId="0" borderId="69" xfId="0" applyNumberFormat="1" applyFont="1" applyFill="1" applyBorder="1" applyAlignment="1">
      <alignment horizontal="center" vertical="center" shrinkToFit="1"/>
    </xf>
    <xf numFmtId="0" fontId="11" fillId="0" borderId="39" xfId="0" applyNumberFormat="1" applyFont="1" applyFill="1" applyBorder="1" applyAlignment="1">
      <alignment horizontal="center" vertical="center" wrapText="1"/>
    </xf>
    <xf numFmtId="179" fontId="9" fillId="0" borderId="35" xfId="2" applyNumberFormat="1" applyFont="1" applyBorder="1" applyAlignment="1">
      <alignment horizontal="right" vertical="center"/>
    </xf>
    <xf numFmtId="0" fontId="18" fillId="0" borderId="3" xfId="0" applyNumberFormat="1" applyFont="1" applyBorder="1" applyAlignment="1">
      <alignment horizontal="center" vertical="center"/>
    </xf>
    <xf numFmtId="41" fontId="18" fillId="0" borderId="35" xfId="2" applyNumberFormat="1" applyFont="1" applyFill="1" applyBorder="1" applyAlignment="1">
      <alignment vertical="center" wrapText="1"/>
    </xf>
    <xf numFmtId="41" fontId="18" fillId="0" borderId="38" xfId="2" applyNumberFormat="1" applyFont="1" applyFill="1" applyBorder="1" applyAlignment="1">
      <alignment vertical="center" wrapText="1"/>
    </xf>
    <xf numFmtId="178" fontId="18" fillId="0" borderId="38" xfId="2" applyNumberFormat="1" applyFont="1" applyBorder="1" applyAlignment="1">
      <alignment horizontal="right" vertical="center" wrapText="1"/>
    </xf>
    <xf numFmtId="179" fontId="18" fillId="0" borderId="38" xfId="2" applyNumberFormat="1" applyFont="1" applyBorder="1" applyAlignment="1">
      <alignment vertical="center" wrapText="1"/>
    </xf>
    <xf numFmtId="0" fontId="18" fillId="0" borderId="7" xfId="0" applyNumberFormat="1" applyFont="1" applyBorder="1" applyAlignment="1">
      <alignment horizontal="center" vertical="top" wrapText="1"/>
    </xf>
    <xf numFmtId="41" fontId="9" fillId="0" borderId="38" xfId="2" applyNumberFormat="1" applyFont="1" applyFill="1" applyBorder="1" applyAlignment="1">
      <alignment horizontal="center" vertical="center" wrapText="1"/>
    </xf>
    <xf numFmtId="178" fontId="9" fillId="0" borderId="38" xfId="2" applyNumberFormat="1" applyFont="1" applyFill="1" applyBorder="1" applyAlignment="1">
      <alignment horizontal="right" vertical="center"/>
    </xf>
    <xf numFmtId="41" fontId="9" fillId="0" borderId="38" xfId="2" applyNumberFormat="1" applyFont="1" applyFill="1" applyBorder="1" applyAlignment="1">
      <alignment vertical="center"/>
    </xf>
    <xf numFmtId="0" fontId="18" fillId="0" borderId="9" xfId="0" applyNumberFormat="1" applyFont="1" applyBorder="1" applyAlignment="1">
      <alignment horizontal="center" vertical="top" wrapText="1"/>
    </xf>
    <xf numFmtId="41" fontId="9" fillId="0" borderId="31" xfId="2" applyNumberFormat="1" applyFont="1" applyFill="1" applyBorder="1" applyAlignment="1">
      <alignment horizontal="center" vertical="center" wrapText="1"/>
    </xf>
    <xf numFmtId="178" fontId="9" fillId="0" borderId="31" xfId="2" applyNumberFormat="1" applyFont="1" applyFill="1" applyBorder="1" applyAlignment="1">
      <alignment horizontal="right" vertical="center"/>
    </xf>
    <xf numFmtId="0" fontId="8" fillId="0" borderId="16" xfId="0" applyNumberFormat="1" applyFont="1" applyBorder="1" applyAlignment="1">
      <alignment vertical="center" wrapText="1"/>
    </xf>
    <xf numFmtId="41" fontId="9" fillId="0" borderId="31" xfId="2" applyNumberFormat="1" applyFont="1" applyFill="1" applyBorder="1" applyAlignment="1">
      <alignment vertical="center"/>
    </xf>
    <xf numFmtId="0" fontId="8" fillId="0" borderId="27" xfId="0" applyNumberFormat="1" applyFont="1" applyBorder="1" applyAlignment="1">
      <alignment vertical="center" wrapText="1"/>
    </xf>
    <xf numFmtId="41" fontId="9" fillId="0" borderId="45" xfId="2" applyNumberFormat="1" applyFont="1" applyFill="1" applyBorder="1" applyAlignment="1">
      <alignment horizontal="center" vertical="center" wrapText="1"/>
    </xf>
    <xf numFmtId="178" fontId="9" fillId="0" borderId="45" xfId="2" applyNumberFormat="1" applyFont="1" applyFill="1" applyBorder="1" applyAlignment="1">
      <alignment horizontal="right" vertical="center"/>
    </xf>
    <xf numFmtId="0" fontId="8" fillId="0" borderId="26" xfId="0" applyNumberFormat="1" applyFont="1" applyBorder="1" applyAlignment="1">
      <alignment vertical="center" wrapText="1"/>
    </xf>
    <xf numFmtId="41" fontId="8" fillId="0" borderId="1" xfId="2" applyNumberFormat="1" applyFont="1" applyBorder="1" applyAlignment="1">
      <alignment vertical="center" shrinkToFit="1"/>
    </xf>
    <xf numFmtId="0" fontId="18" fillId="0" borderId="9" xfId="0" applyNumberFormat="1" applyFont="1" applyBorder="1" applyAlignment="1">
      <alignment vertical="center"/>
    </xf>
    <xf numFmtId="41" fontId="9" fillId="0" borderId="19" xfId="2" applyNumberFormat="1" applyFont="1" applyFill="1" applyBorder="1" applyAlignment="1">
      <alignment vertical="center"/>
    </xf>
    <xf numFmtId="41" fontId="9" fillId="0" borderId="4" xfId="2" applyNumberFormat="1" applyFont="1" applyFill="1" applyBorder="1" applyAlignment="1">
      <alignment vertical="center"/>
    </xf>
    <xf numFmtId="41" fontId="9" fillId="0" borderId="15" xfId="2" applyNumberFormat="1" applyFont="1" applyBorder="1" applyAlignment="1">
      <alignment horizontal="center" vertical="center"/>
    </xf>
    <xf numFmtId="0" fontId="18" fillId="0" borderId="14" xfId="0" applyNumberFormat="1" applyFont="1" applyBorder="1" applyAlignment="1">
      <alignment vertical="center"/>
    </xf>
    <xf numFmtId="0" fontId="8" fillId="0" borderId="47" xfId="0" applyNumberFormat="1" applyFont="1" applyBorder="1" applyAlignment="1">
      <alignment horizontal="center" vertical="center" wrapText="1"/>
    </xf>
    <xf numFmtId="178" fontId="9" fillId="0" borderId="72" xfId="2" applyNumberFormat="1" applyFont="1" applyFill="1" applyBorder="1" applyAlignment="1">
      <alignment horizontal="right" vertical="center"/>
    </xf>
    <xf numFmtId="41" fontId="9" fillId="0" borderId="72" xfId="2" applyNumberFormat="1" applyFont="1" applyFill="1" applyBorder="1" applyAlignment="1">
      <alignment horizontal="center" vertical="center"/>
    </xf>
    <xf numFmtId="41" fontId="9" fillId="0" borderId="65" xfId="2" applyNumberFormat="1" applyFont="1" applyFill="1" applyBorder="1" applyAlignment="1">
      <alignment vertical="center"/>
    </xf>
    <xf numFmtId="178" fontId="9" fillId="0" borderId="72" xfId="2" applyNumberFormat="1" applyFont="1" applyBorder="1" applyAlignment="1">
      <alignment horizontal="right" vertical="center"/>
    </xf>
    <xf numFmtId="179" fontId="9" fillId="0" borderId="72" xfId="2" applyNumberFormat="1" applyFont="1" applyBorder="1" applyAlignment="1">
      <alignment vertical="center"/>
    </xf>
    <xf numFmtId="0" fontId="8" fillId="0" borderId="62" xfId="0" applyNumberFormat="1" applyFont="1" applyBorder="1" applyAlignment="1">
      <alignment horizontal="left" vertical="center" shrinkToFit="1"/>
    </xf>
    <xf numFmtId="41" fontId="8" fillId="0" borderId="21" xfId="4" applyNumberFormat="1" applyFont="1" applyBorder="1">
      <alignment vertical="center"/>
    </xf>
    <xf numFmtId="0" fontId="8" fillId="0" borderId="21" xfId="0" applyNumberFormat="1" applyFont="1" applyBorder="1">
      <alignment vertical="center"/>
    </xf>
    <xf numFmtId="0" fontId="21" fillId="0" borderId="21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8" fillId="0" borderId="21" xfId="0" quotePrefix="1" applyNumberFormat="1" applyFont="1" applyBorder="1" applyAlignment="1">
      <alignment horizontal="center" vertical="center"/>
    </xf>
    <xf numFmtId="41" fontId="8" fillId="0" borderId="21" xfId="0" applyNumberFormat="1" applyFont="1" applyBorder="1">
      <alignment vertical="center"/>
    </xf>
    <xf numFmtId="0" fontId="8" fillId="0" borderId="65" xfId="0" applyNumberFormat="1" applyFont="1" applyBorder="1">
      <alignment vertical="center"/>
    </xf>
    <xf numFmtId="41" fontId="9" fillId="0" borderId="6" xfId="4" applyNumberFormat="1" applyFont="1" applyBorder="1" applyAlignment="1">
      <alignment vertical="center" wrapText="1"/>
    </xf>
    <xf numFmtId="0" fontId="23" fillId="0" borderId="11" xfId="0" applyNumberFormat="1" applyFont="1" applyBorder="1" applyAlignment="1">
      <alignment vertical="center" wrapText="1"/>
    </xf>
    <xf numFmtId="41" fontId="18" fillId="0" borderId="45" xfId="4" applyNumberFormat="1" applyFont="1" applyFill="1" applyBorder="1" applyAlignment="1">
      <alignment vertical="center" wrapText="1"/>
    </xf>
    <xf numFmtId="178" fontId="18" fillId="0" borderId="17" xfId="4" applyNumberFormat="1" applyFont="1" applyBorder="1" applyAlignment="1">
      <alignment horizontal="right" vertical="center" wrapText="1"/>
    </xf>
    <xf numFmtId="179" fontId="18" fillId="0" borderId="45" xfId="2" applyNumberFormat="1" applyFont="1" applyBorder="1" applyAlignment="1">
      <alignment vertical="center" wrapText="1"/>
    </xf>
    <xf numFmtId="0" fontId="11" fillId="0" borderId="26" xfId="0" applyNumberFormat="1" applyFont="1" applyBorder="1" applyAlignment="1">
      <alignment horizontal="left" vertical="center"/>
    </xf>
    <xf numFmtId="0" fontId="23" fillId="0" borderId="8" xfId="0" applyNumberFormat="1" applyFont="1" applyBorder="1" applyAlignment="1">
      <alignment vertical="center" wrapText="1"/>
    </xf>
    <xf numFmtId="41" fontId="18" fillId="0" borderId="35" xfId="4" applyNumberFormat="1" applyFont="1" applyFill="1" applyBorder="1" applyAlignment="1">
      <alignment vertical="center" wrapText="1"/>
    </xf>
    <xf numFmtId="178" fontId="18" fillId="0" borderId="18" xfId="4" applyNumberFormat="1" applyFont="1" applyBorder="1" applyAlignment="1">
      <alignment horizontal="right" vertical="center" wrapText="1"/>
    </xf>
    <xf numFmtId="179" fontId="18" fillId="0" borderId="35" xfId="2" applyNumberFormat="1" applyFont="1" applyBorder="1" applyAlignment="1">
      <alignment vertical="center" wrapText="1"/>
    </xf>
    <xf numFmtId="0" fontId="11" fillId="0" borderId="22" xfId="0" applyNumberFormat="1" applyFont="1" applyBorder="1" applyAlignment="1">
      <alignment horizontal="left" vertical="center"/>
    </xf>
    <xf numFmtId="41" fontId="8" fillId="0" borderId="3" xfId="4" applyNumberFormat="1" applyFont="1" applyBorder="1">
      <alignment vertical="center"/>
    </xf>
    <xf numFmtId="0" fontId="23" fillId="0" borderId="7" xfId="0" applyNumberFormat="1" applyFont="1" applyBorder="1" applyAlignment="1">
      <alignment vertical="center" wrapText="1"/>
    </xf>
    <xf numFmtId="178" fontId="18" fillId="0" borderId="61" xfId="4" applyNumberFormat="1" applyFont="1" applyBorder="1" applyAlignment="1">
      <alignment horizontal="right" vertical="center" wrapText="1"/>
    </xf>
    <xf numFmtId="0" fontId="11" fillId="0" borderId="25" xfId="0" applyNumberFormat="1" applyFont="1" applyBorder="1" applyAlignment="1">
      <alignment horizontal="left" vertical="center"/>
    </xf>
    <xf numFmtId="0" fontId="9" fillId="0" borderId="69" xfId="0" applyNumberFormat="1" applyFont="1" applyBorder="1" applyAlignment="1">
      <alignment horizontal="center" vertical="center"/>
    </xf>
    <xf numFmtId="0" fontId="23" fillId="0" borderId="33" xfId="0" applyNumberFormat="1" applyFont="1" applyBorder="1" applyAlignment="1">
      <alignment vertical="center" wrapText="1"/>
    </xf>
    <xf numFmtId="41" fontId="9" fillId="0" borderId="62" xfId="2" applyNumberFormat="1" applyFont="1" applyBorder="1" applyAlignment="1">
      <alignment horizontal="center" vertical="center"/>
    </xf>
    <xf numFmtId="0" fontId="9" fillId="0" borderId="47" xfId="0" applyNumberFormat="1" applyFont="1" applyBorder="1" applyAlignment="1">
      <alignment horizontal="center" vertical="center"/>
    </xf>
    <xf numFmtId="0" fontId="23" fillId="0" borderId="63" xfId="0" applyNumberFormat="1" applyFont="1" applyBorder="1" applyAlignment="1">
      <alignment vertical="center" wrapText="1"/>
    </xf>
    <xf numFmtId="41" fontId="18" fillId="0" borderId="48" xfId="4" applyNumberFormat="1" applyFont="1" applyFill="1" applyBorder="1" applyAlignment="1">
      <alignment vertical="center" wrapText="1"/>
    </xf>
    <xf numFmtId="179" fontId="18" fillId="0" borderId="48" xfId="2" applyNumberFormat="1" applyFont="1" applyBorder="1" applyAlignment="1">
      <alignment vertical="center" wrapText="1"/>
    </xf>
    <xf numFmtId="0" fontId="11" fillId="0" borderId="23" xfId="0" applyNumberFormat="1" applyFont="1" applyBorder="1" applyAlignment="1">
      <alignment horizontal="left" vertical="center"/>
    </xf>
    <xf numFmtId="41" fontId="8" fillId="0" borderId="64" xfId="4" applyNumberFormat="1" applyFont="1" applyBorder="1">
      <alignment vertical="center"/>
    </xf>
    <xf numFmtId="0" fontId="8" fillId="0" borderId="64" xfId="0" applyNumberFormat="1" applyFont="1" applyBorder="1">
      <alignment vertical="center"/>
    </xf>
    <xf numFmtId="0" fontId="21" fillId="0" borderId="64" xfId="0" applyNumberFormat="1" applyFont="1" applyBorder="1" applyAlignment="1">
      <alignment horizontal="center" vertical="center"/>
    </xf>
    <xf numFmtId="0" fontId="8" fillId="0" borderId="64" xfId="0" applyNumberFormat="1" applyFont="1" applyBorder="1" applyAlignment="1">
      <alignment horizontal="center" vertical="center"/>
    </xf>
    <xf numFmtId="0" fontId="8" fillId="0" borderId="64" xfId="0" quotePrefix="1" applyNumberFormat="1" applyFont="1" applyBorder="1" applyAlignment="1">
      <alignment horizontal="center" vertical="center"/>
    </xf>
    <xf numFmtId="0" fontId="8" fillId="0" borderId="61" xfId="0" applyNumberFormat="1" applyFont="1" applyBorder="1">
      <alignment vertical="center"/>
    </xf>
    <xf numFmtId="41" fontId="9" fillId="0" borderId="0" xfId="2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41" fontId="9" fillId="0" borderId="0" xfId="2" applyNumberFormat="1" applyFont="1" applyFill="1" applyBorder="1" applyAlignment="1">
      <alignment horizontal="center" vertical="center"/>
    </xf>
    <xf numFmtId="178" fontId="9" fillId="0" borderId="0" xfId="2" applyNumberFormat="1" applyFont="1" applyBorder="1" applyAlignment="1">
      <alignment horizontal="right" vertical="center"/>
    </xf>
    <xf numFmtId="179" fontId="9" fillId="0" borderId="0" xfId="2" applyNumberFormat="1" applyFont="1" applyBorder="1" applyAlignment="1">
      <alignment vertical="center"/>
    </xf>
    <xf numFmtId="41" fontId="9" fillId="0" borderId="0" xfId="0" applyNumberFormat="1" applyFont="1" applyBorder="1" applyAlignment="1">
      <alignment horizontal="left" vertical="center"/>
    </xf>
    <xf numFmtId="43" fontId="8" fillId="0" borderId="0" xfId="0" applyNumberFormat="1" applyFont="1" applyBorder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3" fontId="14" fillId="0" borderId="0" xfId="2" applyNumberFormat="1" applyFont="1" applyFill="1" applyBorder="1" applyAlignment="1">
      <alignment horizontal="right" vertical="center"/>
    </xf>
    <xf numFmtId="180" fontId="14" fillId="0" borderId="0" xfId="0" applyNumberFormat="1" applyFont="1" applyBorder="1" applyAlignment="1">
      <alignment horizontal="right" vertical="center"/>
    </xf>
    <xf numFmtId="0" fontId="15" fillId="0" borderId="12" xfId="0" applyNumberFormat="1" applyFont="1" applyBorder="1" applyAlignment="1">
      <alignment horizontal="center" vertical="center"/>
    </xf>
    <xf numFmtId="0" fontId="15" fillId="0" borderId="78" xfId="0" applyNumberFormat="1" applyFont="1" applyBorder="1" applyAlignment="1">
      <alignment horizontal="center" vertical="center"/>
    </xf>
    <xf numFmtId="41" fontId="15" fillId="0" borderId="12" xfId="4" applyNumberFormat="1" applyFont="1" applyFill="1" applyBorder="1" applyAlignment="1">
      <alignment horizontal="center" vertical="center" wrapText="1"/>
    </xf>
    <xf numFmtId="41" fontId="15" fillId="0" borderId="13" xfId="2" applyNumberFormat="1" applyFont="1" applyBorder="1" applyAlignment="1">
      <alignment horizontal="center" vertical="center"/>
    </xf>
    <xf numFmtId="0" fontId="15" fillId="0" borderId="76" xfId="0" applyNumberFormat="1" applyFont="1" applyBorder="1" applyAlignment="1">
      <alignment horizontal="center" vertical="center"/>
    </xf>
    <xf numFmtId="0" fontId="15" fillId="0" borderId="14" xfId="0" applyNumberFormat="1" applyFont="1" applyBorder="1" applyAlignment="1">
      <alignment horizontal="center" vertical="center"/>
    </xf>
    <xf numFmtId="0" fontId="15" fillId="0" borderId="70" xfId="0" applyNumberFormat="1" applyFont="1" applyBorder="1" applyAlignment="1">
      <alignment horizontal="center" vertical="center"/>
    </xf>
    <xf numFmtId="41" fontId="15" fillId="0" borderId="14" xfId="4" applyNumberFormat="1" applyFont="1" applyFill="1" applyBorder="1" applyAlignment="1">
      <alignment horizontal="center" vertical="center" wrapText="1"/>
    </xf>
    <xf numFmtId="3" fontId="15" fillId="0" borderId="10" xfId="2" applyNumberFormat="1" applyFont="1" applyFill="1" applyBorder="1" applyAlignment="1">
      <alignment horizontal="center" vertical="center"/>
    </xf>
    <xf numFmtId="180" fontId="15" fillId="0" borderId="10" xfId="2" applyNumberFormat="1" applyFont="1" applyBorder="1" applyAlignment="1">
      <alignment horizontal="center" vertical="center"/>
    </xf>
    <xf numFmtId="0" fontId="15" fillId="0" borderId="77" xfId="0" applyNumberFormat="1" applyFont="1" applyBorder="1" applyAlignment="1">
      <alignment horizontal="center" vertical="center"/>
    </xf>
    <xf numFmtId="41" fontId="15" fillId="0" borderId="29" xfId="4" applyNumberFormat="1" applyFont="1" applyFill="1" applyBorder="1" applyAlignment="1">
      <alignment horizontal="center" vertical="center"/>
    </xf>
    <xf numFmtId="3" fontId="15" fillId="0" borderId="44" xfId="2" applyNumberFormat="1" applyFont="1" applyFill="1" applyBorder="1" applyAlignment="1">
      <alignment horizontal="right" vertical="center"/>
    </xf>
    <xf numFmtId="180" fontId="15" fillId="0" borderId="44" xfId="2" applyNumberFormat="1" applyFont="1" applyBorder="1" applyAlignment="1">
      <alignment horizontal="right" vertical="center"/>
    </xf>
    <xf numFmtId="41" fontId="16" fillId="0" borderId="30" xfId="0" applyNumberFormat="1" applyFont="1" applyBorder="1">
      <alignment vertical="center"/>
    </xf>
    <xf numFmtId="0" fontId="16" fillId="0" borderId="43" xfId="0" applyNumberFormat="1" applyFont="1" applyBorder="1">
      <alignment vertical="center"/>
    </xf>
    <xf numFmtId="41" fontId="18" fillId="0" borderId="6" xfId="2" applyNumberFormat="1" applyFont="1" applyFill="1" applyBorder="1" applyAlignment="1">
      <alignment horizontal="center" vertical="center"/>
    </xf>
    <xf numFmtId="41" fontId="18" fillId="0" borderId="32" xfId="4" applyNumberFormat="1" applyFont="1" applyFill="1" applyBorder="1" applyAlignment="1">
      <alignment horizontal="center" vertical="center"/>
    </xf>
    <xf numFmtId="3" fontId="18" fillId="0" borderId="40" xfId="2" applyNumberFormat="1" applyFont="1" applyFill="1" applyBorder="1" applyAlignment="1">
      <alignment horizontal="right" vertical="center"/>
    </xf>
    <xf numFmtId="180" fontId="18" fillId="0" borderId="40" xfId="2" applyNumberFormat="1" applyFont="1" applyBorder="1" applyAlignment="1">
      <alignment horizontal="right" vertical="center"/>
    </xf>
    <xf numFmtId="0" fontId="11" fillId="0" borderId="0" xfId="0" applyNumberFormat="1" applyFont="1" applyBorder="1">
      <alignment vertical="center"/>
    </xf>
    <xf numFmtId="0" fontId="11" fillId="0" borderId="0" xfId="0" applyNumberFormat="1" applyFont="1" applyBorder="1" applyAlignment="1">
      <alignment horizontal="center" vertical="center"/>
    </xf>
    <xf numFmtId="41" fontId="16" fillId="0" borderId="0" xfId="0" applyNumberFormat="1" applyFont="1" applyBorder="1">
      <alignment vertical="center"/>
    </xf>
    <xf numFmtId="41" fontId="9" fillId="0" borderId="24" xfId="2" applyNumberFormat="1" applyFont="1" applyFill="1" applyBorder="1" applyAlignment="1">
      <alignment horizontal="center" vertical="center"/>
    </xf>
    <xf numFmtId="41" fontId="12" fillId="0" borderId="33" xfId="4" applyNumberFormat="1" applyFont="1" applyFill="1" applyBorder="1" applyAlignment="1">
      <alignment horizontal="center" vertical="center"/>
    </xf>
    <xf numFmtId="3" fontId="9" fillId="0" borderId="8" xfId="2" applyNumberFormat="1" applyFont="1" applyFill="1" applyBorder="1" applyAlignment="1">
      <alignment horizontal="right" vertical="center"/>
    </xf>
    <xf numFmtId="180" fontId="9" fillId="0" borderId="8" xfId="2" applyNumberFormat="1" applyFont="1" applyBorder="1" applyAlignment="1">
      <alignment horizontal="right" vertical="center"/>
    </xf>
    <xf numFmtId="0" fontId="11" fillId="0" borderId="2" xfId="0" applyNumberFormat="1" applyFont="1" applyBorder="1">
      <alignment vertical="center"/>
    </xf>
    <xf numFmtId="0" fontId="11" fillId="0" borderId="2" xfId="0" applyNumberFormat="1" applyFont="1" applyBorder="1" applyAlignment="1">
      <alignment horizontal="center" vertical="center"/>
    </xf>
    <xf numFmtId="41" fontId="9" fillId="0" borderId="24" xfId="2" applyNumberFormat="1" applyFont="1" applyFill="1" applyBorder="1" applyAlignment="1">
      <alignment horizontal="center" vertical="center"/>
    </xf>
    <xf numFmtId="41" fontId="9" fillId="0" borderId="33" xfId="4" applyNumberFormat="1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41" fontId="9" fillId="0" borderId="6" xfId="2" applyNumberFormat="1" applyFont="1" applyFill="1" applyBorder="1" applyAlignment="1">
      <alignment horizontal="center" vertical="center"/>
    </xf>
    <xf numFmtId="41" fontId="9" fillId="0" borderId="32" xfId="4" applyNumberFormat="1" applyFont="1" applyFill="1" applyBorder="1" applyAlignment="1">
      <alignment horizontal="center" vertical="center"/>
    </xf>
    <xf numFmtId="178" fontId="9" fillId="0" borderId="9" xfId="2" applyNumberFormat="1" applyFont="1" applyFill="1" applyBorder="1" applyAlignment="1">
      <alignment horizontal="right" vertical="center"/>
    </xf>
    <xf numFmtId="179" fontId="9" fillId="0" borderId="9" xfId="0" applyNumberFormat="1" applyFont="1" applyBorder="1" applyAlignment="1">
      <alignment horizontal="right" vertical="center"/>
    </xf>
    <xf numFmtId="41" fontId="8" fillId="0" borderId="0" xfId="4" applyNumberFormat="1" applyFont="1" applyBorder="1" applyAlignment="1">
      <alignment vertical="center"/>
    </xf>
    <xf numFmtId="41" fontId="9" fillId="0" borderId="34" xfId="4" applyNumberFormat="1" applyFont="1" applyFill="1" applyBorder="1" applyAlignment="1">
      <alignment horizontal="center" vertical="center"/>
    </xf>
    <xf numFmtId="41" fontId="9" fillId="0" borderId="42" xfId="2" applyNumberFormat="1" applyFont="1" applyFill="1" applyBorder="1" applyAlignment="1">
      <alignment horizontal="center" vertical="center"/>
    </xf>
    <xf numFmtId="178" fontId="9" fillId="0" borderId="11" xfId="2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right" vertical="center"/>
    </xf>
    <xf numFmtId="41" fontId="9" fillId="0" borderId="7" xfId="4" applyNumberFormat="1" applyFont="1" applyFill="1" applyBorder="1" applyAlignment="1">
      <alignment horizontal="center" vertical="center"/>
    </xf>
    <xf numFmtId="3" fontId="9" fillId="0" borderId="7" xfId="2" applyNumberFormat="1" applyFont="1" applyFill="1" applyBorder="1" applyAlignment="1">
      <alignment horizontal="right" vertical="center"/>
    </xf>
    <xf numFmtId="180" fontId="9" fillId="0" borderId="7" xfId="2" applyNumberFormat="1" applyFont="1" applyBorder="1" applyAlignment="1">
      <alignment horizontal="right" vertical="center"/>
    </xf>
    <xf numFmtId="41" fontId="9" fillId="0" borderId="9" xfId="4" applyNumberFormat="1" applyFont="1" applyFill="1" applyBorder="1" applyAlignment="1">
      <alignment horizontal="center" vertical="center"/>
    </xf>
    <xf numFmtId="3" fontId="9" fillId="0" borderId="9" xfId="2" applyNumberFormat="1" applyFont="1" applyFill="1" applyBorder="1" applyAlignment="1">
      <alignment horizontal="right" vertical="center"/>
    </xf>
    <xf numFmtId="180" fontId="9" fillId="0" borderId="9" xfId="2" applyNumberFormat="1" applyFont="1" applyBorder="1" applyAlignment="1">
      <alignment horizontal="right" vertical="center"/>
    </xf>
    <xf numFmtId="0" fontId="18" fillId="0" borderId="8" xfId="0" applyNumberFormat="1" applyFont="1" applyBorder="1" applyAlignment="1">
      <alignment horizontal="center" vertical="center"/>
    </xf>
    <xf numFmtId="41" fontId="18" fillId="0" borderId="35" xfId="2" applyNumberFormat="1" applyFont="1" applyBorder="1" applyAlignment="1">
      <alignment horizontal="center" vertical="center"/>
    </xf>
    <xf numFmtId="41" fontId="18" fillId="0" borderId="36" xfId="2" applyNumberFormat="1" applyFont="1" applyFill="1" applyBorder="1" applyAlignment="1">
      <alignment horizontal="center" vertical="center"/>
    </xf>
    <xf numFmtId="41" fontId="18" fillId="0" borderId="8" xfId="4" applyNumberFormat="1" applyFont="1" applyFill="1" applyBorder="1" applyAlignment="1">
      <alignment horizontal="center" vertical="center"/>
    </xf>
    <xf numFmtId="3" fontId="18" fillId="0" borderId="8" xfId="2" applyNumberFormat="1" applyFont="1" applyFill="1" applyBorder="1" applyAlignment="1">
      <alignment horizontal="right" vertical="center"/>
    </xf>
    <xf numFmtId="180" fontId="18" fillId="0" borderId="8" xfId="2" applyNumberFormat="1" applyFont="1" applyBorder="1" applyAlignment="1">
      <alignment horizontal="right" vertical="center"/>
    </xf>
    <xf numFmtId="41" fontId="16" fillId="0" borderId="3" xfId="0" applyNumberFormat="1" applyFont="1" applyBorder="1">
      <alignment vertical="center"/>
    </xf>
    <xf numFmtId="41" fontId="9" fillId="0" borderId="42" xfId="2" applyNumberFormat="1" applyFont="1" applyBorder="1" applyAlignment="1">
      <alignment horizontal="center" vertical="center"/>
    </xf>
    <xf numFmtId="41" fontId="12" fillId="0" borderId="11" xfId="4" applyNumberFormat="1" applyFont="1" applyFill="1" applyBorder="1" applyAlignment="1">
      <alignment horizontal="center" vertical="center"/>
    </xf>
    <xf numFmtId="3" fontId="9" fillId="0" borderId="11" xfId="2" applyNumberFormat="1" applyFont="1" applyFill="1" applyBorder="1" applyAlignment="1">
      <alignment horizontal="right" vertical="center"/>
    </xf>
    <xf numFmtId="0" fontId="16" fillId="0" borderId="25" xfId="0" applyNumberFormat="1" applyFont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41" fontId="8" fillId="0" borderId="2" xfId="0" applyNumberFormat="1" applyFont="1" applyBorder="1" applyAlignment="1">
      <alignment horizontal="center" vertical="center"/>
    </xf>
    <xf numFmtId="41" fontId="8" fillId="0" borderId="2" xfId="0" applyNumberFormat="1" applyFont="1" applyBorder="1" applyAlignment="1">
      <alignment vertical="center"/>
    </xf>
    <xf numFmtId="0" fontId="8" fillId="0" borderId="27" xfId="0" applyNumberFormat="1" applyFont="1" applyFill="1" applyBorder="1" applyAlignment="1">
      <alignment horizontal="left" vertical="center" shrinkToFit="1"/>
    </xf>
    <xf numFmtId="41" fontId="9" fillId="0" borderId="31" xfId="2" applyNumberFormat="1" applyFont="1" applyBorder="1" applyAlignment="1">
      <alignment vertical="center"/>
    </xf>
    <xf numFmtId="41" fontId="9" fillId="0" borderId="6" xfId="2" applyNumberFormat="1" applyFont="1" applyFill="1" applyBorder="1" applyAlignment="1">
      <alignment vertical="center"/>
    </xf>
    <xf numFmtId="3" fontId="9" fillId="0" borderId="9" xfId="2" applyNumberFormat="1" applyFont="1" applyFill="1" applyBorder="1" applyAlignment="1">
      <alignment vertical="center"/>
    </xf>
    <xf numFmtId="180" fontId="9" fillId="0" borderId="9" xfId="2" applyNumberFormat="1" applyFont="1" applyBorder="1" applyAlignment="1">
      <alignment vertical="center"/>
    </xf>
    <xf numFmtId="0" fontId="9" fillId="0" borderId="69" xfId="0" applyNumberFormat="1" applyFont="1" applyBorder="1" applyAlignment="1">
      <alignment vertical="center"/>
    </xf>
    <xf numFmtId="41" fontId="9" fillId="0" borderId="6" xfId="2" applyNumberFormat="1" applyFont="1" applyFill="1" applyBorder="1" applyAlignment="1">
      <alignment horizontal="center" vertical="center"/>
    </xf>
    <xf numFmtId="3" fontId="9" fillId="0" borderId="9" xfId="2" applyNumberFormat="1" applyFont="1" applyFill="1" applyBorder="1" applyAlignment="1">
      <alignment horizontal="right" vertical="center"/>
    </xf>
    <xf numFmtId="180" fontId="9" fillId="0" borderId="9" xfId="2" applyNumberFormat="1" applyFont="1" applyBorder="1" applyAlignment="1">
      <alignment horizontal="right" vertical="center"/>
    </xf>
    <xf numFmtId="41" fontId="8" fillId="0" borderId="0" xfId="4" applyNumberFormat="1" applyFont="1" applyFill="1" applyBorder="1" applyAlignment="1">
      <alignment horizontal="right" vertical="center"/>
    </xf>
    <xf numFmtId="41" fontId="8" fillId="0" borderId="0" xfId="0" applyNumberFormat="1" applyFont="1" applyFill="1" applyBorder="1" applyAlignment="1">
      <alignment horizontal="center" vertical="center"/>
    </xf>
    <xf numFmtId="41" fontId="18" fillId="0" borderId="37" xfId="4" applyNumberFormat="1" applyFont="1" applyFill="1" applyBorder="1" applyAlignment="1">
      <alignment horizontal="center" vertical="center"/>
    </xf>
    <xf numFmtId="0" fontId="17" fillId="0" borderId="3" xfId="0" applyNumberFormat="1" applyFont="1" applyBorder="1">
      <alignment vertical="center"/>
    </xf>
    <xf numFmtId="0" fontId="17" fillId="0" borderId="3" xfId="0" applyNumberFormat="1" applyFont="1" applyBorder="1" applyAlignment="1">
      <alignment horizontal="center" vertical="center"/>
    </xf>
    <xf numFmtId="41" fontId="17" fillId="0" borderId="3" xfId="0" applyNumberFormat="1" applyFont="1" applyBorder="1">
      <alignment vertical="center"/>
    </xf>
    <xf numFmtId="0" fontId="17" fillId="0" borderId="18" xfId="0" applyNumberFormat="1" applyFont="1" applyBorder="1">
      <alignment vertical="center"/>
    </xf>
    <xf numFmtId="0" fontId="16" fillId="0" borderId="0" xfId="0" applyNumberFormat="1" applyFont="1">
      <alignment vertical="center"/>
    </xf>
    <xf numFmtId="41" fontId="16" fillId="0" borderId="0" xfId="2" applyNumberFormat="1" applyFont="1">
      <alignment vertical="center"/>
    </xf>
    <xf numFmtId="0" fontId="18" fillId="0" borderId="9" xfId="0" applyNumberFormat="1" applyFont="1" applyBorder="1" applyAlignment="1">
      <alignment horizontal="center" vertical="center" shrinkToFit="1"/>
    </xf>
    <xf numFmtId="0" fontId="12" fillId="0" borderId="22" xfId="0" applyNumberFormat="1" applyFont="1" applyBorder="1" applyAlignment="1">
      <alignment horizontal="center" vertical="center"/>
    </xf>
    <xf numFmtId="41" fontId="9" fillId="0" borderId="36" xfId="2" applyNumberFormat="1" applyFont="1" applyFill="1" applyBorder="1" applyAlignment="1">
      <alignment horizontal="center" vertical="center"/>
    </xf>
    <xf numFmtId="41" fontId="12" fillId="0" borderId="37" xfId="4" applyNumberFormat="1" applyFont="1" applyFill="1" applyBorder="1" applyAlignment="1">
      <alignment horizontal="center" vertical="center"/>
    </xf>
    <xf numFmtId="0" fontId="11" fillId="0" borderId="22" xfId="0" applyNumberFormat="1" applyFont="1" applyBorder="1">
      <alignment vertical="center"/>
    </xf>
    <xf numFmtId="0" fontId="11" fillId="0" borderId="3" xfId="0" applyNumberFormat="1" applyFont="1" applyBorder="1">
      <alignment vertical="center"/>
    </xf>
    <xf numFmtId="0" fontId="11" fillId="0" borderId="3" xfId="0" applyNumberFormat="1" applyFont="1" applyBorder="1" applyAlignment="1">
      <alignment horizontal="center" vertical="center"/>
    </xf>
    <xf numFmtId="41" fontId="11" fillId="0" borderId="3" xfId="0" applyNumberFormat="1" applyFont="1" applyBorder="1">
      <alignment vertical="center"/>
    </xf>
    <xf numFmtId="0" fontId="11" fillId="0" borderId="18" xfId="0" applyNumberFormat="1" applyFont="1" applyBorder="1">
      <alignment vertical="center"/>
    </xf>
    <xf numFmtId="0" fontId="18" fillId="0" borderId="24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>
      <alignment vertical="center"/>
    </xf>
    <xf numFmtId="0" fontId="16" fillId="0" borderId="3" xfId="0" applyNumberFormat="1" applyFont="1" applyBorder="1" applyAlignment="1">
      <alignment horizontal="center" vertical="center"/>
    </xf>
    <xf numFmtId="0" fontId="8" fillId="0" borderId="22" xfId="0" applyNumberFormat="1" applyFont="1" applyBorder="1">
      <alignment vertical="center"/>
    </xf>
    <xf numFmtId="179" fontId="9" fillId="0" borderId="7" xfId="2" applyNumberFormat="1" applyFont="1" applyBorder="1" applyAlignment="1">
      <alignment horizontal="right" vertical="center"/>
    </xf>
    <xf numFmtId="0" fontId="8" fillId="0" borderId="27" xfId="0" applyNumberFormat="1" applyFont="1" applyBorder="1">
      <alignment vertical="center"/>
    </xf>
    <xf numFmtId="179" fontId="9" fillId="0" borderId="9" xfId="2" applyNumberFormat="1" applyFont="1" applyBorder="1" applyAlignment="1">
      <alignment horizontal="right" vertical="center"/>
    </xf>
    <xf numFmtId="41" fontId="9" fillId="0" borderId="9" xfId="4" applyNumberFormat="1" applyFont="1" applyFill="1" applyBorder="1" applyAlignment="1">
      <alignment horizontal="center" vertical="center"/>
    </xf>
    <xf numFmtId="179" fontId="9" fillId="0" borderId="11" xfId="2" applyNumberFormat="1" applyFont="1" applyBorder="1" applyAlignment="1">
      <alignment horizontal="right" vertical="center"/>
    </xf>
    <xf numFmtId="41" fontId="18" fillId="0" borderId="37" xfId="2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>
      <alignment vertical="center"/>
    </xf>
    <xf numFmtId="0" fontId="8" fillId="0" borderId="3" xfId="0" applyNumberFormat="1" applyFont="1" applyFill="1" applyBorder="1" applyAlignment="1">
      <alignment vertical="center"/>
    </xf>
    <xf numFmtId="41" fontId="16" fillId="0" borderId="3" xfId="0" applyNumberFormat="1" applyFont="1" applyFill="1" applyBorder="1">
      <alignment vertical="center"/>
    </xf>
    <xf numFmtId="0" fontId="16" fillId="0" borderId="18" xfId="0" applyNumberFormat="1" applyFont="1" applyFill="1" applyBorder="1">
      <alignment vertical="center"/>
    </xf>
    <xf numFmtId="41" fontId="9" fillId="0" borderId="32" xfId="2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41" fontId="8" fillId="0" borderId="0" xfId="0" applyNumberFormat="1" applyFont="1" applyFill="1" applyBorder="1">
      <alignment vertical="center"/>
    </xf>
    <xf numFmtId="41" fontId="8" fillId="0" borderId="2" xfId="2" applyNumberFormat="1" applyFont="1" applyFill="1" applyBorder="1">
      <alignment vertical="center"/>
    </xf>
    <xf numFmtId="0" fontId="8" fillId="0" borderId="2" xfId="0" applyNumberFormat="1" applyFont="1" applyFill="1" applyBorder="1" applyAlignment="1">
      <alignment vertical="center"/>
    </xf>
    <xf numFmtId="0" fontId="8" fillId="0" borderId="2" xfId="0" applyNumberFormat="1" applyFont="1" applyFill="1" applyBorder="1" applyAlignment="1">
      <alignment horizontal="center" vertical="center"/>
    </xf>
    <xf numFmtId="41" fontId="9" fillId="0" borderId="11" xfId="4" applyNumberFormat="1" applyFont="1" applyFill="1" applyBorder="1" applyAlignment="1">
      <alignment horizontal="center" vertical="center"/>
    </xf>
    <xf numFmtId="0" fontId="8" fillId="0" borderId="27" xfId="0" applyNumberFormat="1" applyFont="1" applyFill="1" applyBorder="1" applyAlignment="1">
      <alignment horizontal="left" vertical="center"/>
    </xf>
    <xf numFmtId="41" fontId="8" fillId="0" borderId="0" xfId="4" applyNumberFormat="1" applyFont="1" applyFill="1" applyBorder="1" applyAlignment="1">
      <alignment horizontal="center" vertical="center"/>
    </xf>
    <xf numFmtId="0" fontId="16" fillId="0" borderId="25" xfId="0" applyNumberFormat="1" applyFont="1" applyBorder="1" applyAlignment="1">
      <alignment horizontal="left" vertical="center"/>
    </xf>
    <xf numFmtId="0" fontId="8" fillId="4" borderId="27" xfId="0" applyNumberFormat="1" applyFont="1" applyFill="1" applyBorder="1" applyAlignment="1">
      <alignment horizontal="left" vertical="center"/>
    </xf>
    <xf numFmtId="41" fontId="8" fillId="4" borderId="0" xfId="4" applyNumberFormat="1" applyFont="1" applyFill="1" applyBorder="1">
      <alignment vertical="center"/>
    </xf>
    <xf numFmtId="0" fontId="8" fillId="4" borderId="0" xfId="0" applyNumberFormat="1" applyFont="1" applyFill="1" applyBorder="1" applyAlignment="1">
      <alignment horizontal="center" vertical="center"/>
    </xf>
    <xf numFmtId="0" fontId="21" fillId="4" borderId="0" xfId="0" applyNumberFormat="1" applyFont="1" applyFill="1" applyBorder="1" applyAlignment="1">
      <alignment horizontal="center" vertical="center"/>
    </xf>
    <xf numFmtId="0" fontId="8" fillId="4" borderId="0" xfId="0" quotePrefix="1" applyNumberFormat="1" applyFont="1" applyFill="1" applyBorder="1" applyAlignment="1">
      <alignment horizontal="center" vertical="center"/>
    </xf>
    <xf numFmtId="0" fontId="8" fillId="4" borderId="4" xfId="0" applyNumberFormat="1" applyFont="1" applyFill="1" applyBorder="1">
      <alignment vertical="center"/>
    </xf>
    <xf numFmtId="41" fontId="8" fillId="0" borderId="0" xfId="4" applyNumberFormat="1" applyFont="1">
      <alignment vertical="center"/>
    </xf>
    <xf numFmtId="41" fontId="8" fillId="0" borderId="0" xfId="2" applyNumberFormat="1" applyFont="1" applyFill="1">
      <alignment vertical="center"/>
    </xf>
    <xf numFmtId="41" fontId="8" fillId="0" borderId="0" xfId="4" applyNumberFormat="1" applyFont="1" applyFill="1">
      <alignment vertical="center"/>
    </xf>
    <xf numFmtId="0" fontId="8" fillId="0" borderId="0" xfId="0" applyNumberFormat="1" applyFont="1" applyFill="1">
      <alignment vertical="center"/>
    </xf>
    <xf numFmtId="41" fontId="9" fillId="0" borderId="11" xfId="4" applyNumberFormat="1" applyFont="1" applyFill="1" applyBorder="1" applyAlignment="1">
      <alignment horizontal="center" vertical="center"/>
    </xf>
    <xf numFmtId="3" fontId="9" fillId="0" borderId="11" xfId="2" applyNumberFormat="1" applyFont="1" applyFill="1" applyBorder="1" applyAlignment="1">
      <alignment horizontal="right" vertical="center"/>
    </xf>
    <xf numFmtId="180" fontId="9" fillId="0" borderId="11" xfId="2" applyNumberFormat="1" applyFont="1" applyBorder="1" applyAlignment="1">
      <alignment horizontal="right" vertical="center"/>
    </xf>
    <xf numFmtId="0" fontId="8" fillId="0" borderId="26" xfId="0" applyNumberFormat="1" applyFont="1" applyFill="1" applyBorder="1" applyAlignment="1">
      <alignment horizontal="left" vertical="center"/>
    </xf>
    <xf numFmtId="0" fontId="8" fillId="0" borderId="16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NumberFormat="1" applyFont="1" applyFill="1" applyAlignment="1">
      <alignment horizontal="left" vertical="center"/>
    </xf>
    <xf numFmtId="178" fontId="9" fillId="0" borderId="24" xfId="2" applyNumberFormat="1" applyFont="1" applyFill="1" applyBorder="1" applyAlignment="1">
      <alignment horizontal="right" vertical="center"/>
    </xf>
    <xf numFmtId="41" fontId="9" fillId="0" borderId="7" xfId="4" applyNumberFormat="1" applyFont="1" applyFill="1" applyBorder="1" applyAlignment="1">
      <alignment horizontal="center" vertical="center"/>
    </xf>
    <xf numFmtId="0" fontId="16" fillId="0" borderId="25" xfId="0" applyNumberFormat="1" applyFont="1" applyFill="1" applyBorder="1" applyAlignment="1">
      <alignment horizontal="left" vertical="center"/>
    </xf>
    <xf numFmtId="178" fontId="9" fillId="0" borderId="6" xfId="2" applyNumberFormat="1" applyFont="1" applyFill="1" applyBorder="1" applyAlignment="1">
      <alignment horizontal="right" vertical="center"/>
    </xf>
    <xf numFmtId="178" fontId="9" fillId="0" borderId="42" xfId="2" applyNumberFormat="1" applyFont="1" applyFill="1" applyBorder="1" applyAlignment="1">
      <alignment horizontal="right" vertical="center"/>
    </xf>
    <xf numFmtId="0" fontId="8" fillId="0" borderId="1" xfId="0" quotePrefix="1" applyNumberFormat="1" applyFont="1" applyFill="1" applyBorder="1" applyAlignment="1">
      <alignment horizontal="left" vertical="center"/>
    </xf>
    <xf numFmtId="41" fontId="9" fillId="0" borderId="33" xfId="2" applyNumberFormat="1" applyFont="1" applyFill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41" fontId="9" fillId="0" borderId="33" xfId="2" applyNumberFormat="1" applyFont="1" applyFill="1" applyBorder="1" applyAlignment="1">
      <alignment horizontal="center" vertical="center"/>
    </xf>
    <xf numFmtId="41" fontId="9" fillId="0" borderId="32" xfId="2" applyNumberFormat="1" applyFont="1" applyFill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 wrapText="1"/>
    </xf>
    <xf numFmtId="178" fontId="9" fillId="0" borderId="36" xfId="2" applyNumberFormat="1" applyFont="1" applyFill="1" applyBorder="1" applyAlignment="1">
      <alignment horizontal="right" vertical="center"/>
    </xf>
    <xf numFmtId="41" fontId="9" fillId="0" borderId="37" xfId="4" applyNumberFormat="1" applyFont="1" applyFill="1" applyBorder="1" applyAlignment="1">
      <alignment horizontal="center" vertical="center"/>
    </xf>
    <xf numFmtId="41" fontId="9" fillId="0" borderId="0" xfId="4" applyNumberFormat="1" applyFont="1">
      <alignment vertical="center"/>
    </xf>
    <xf numFmtId="0" fontId="8" fillId="0" borderId="26" xfId="0" applyNumberFormat="1" applyFont="1" applyBorder="1" applyAlignment="1">
      <alignment horizontal="left" vertical="center"/>
    </xf>
    <xf numFmtId="41" fontId="9" fillId="0" borderId="34" xfId="2" applyNumberFormat="1" applyFont="1" applyFill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 wrapText="1"/>
    </xf>
    <xf numFmtId="0" fontId="9" fillId="0" borderId="26" xfId="0" applyNumberFormat="1" applyFont="1" applyBorder="1" applyAlignment="1">
      <alignment horizontal="center" vertical="center" wrapText="1"/>
    </xf>
    <xf numFmtId="0" fontId="11" fillId="0" borderId="27" xfId="0" applyNumberFormat="1" applyFont="1" applyFill="1" applyBorder="1" applyAlignment="1">
      <alignment horizontal="left" vertical="center" wrapText="1"/>
    </xf>
    <xf numFmtId="0" fontId="11" fillId="0" borderId="27" xfId="0" applyNumberFormat="1" applyFont="1" applyFill="1" applyBorder="1" applyAlignment="1">
      <alignment horizontal="left" vertical="center" shrinkToFit="1"/>
    </xf>
    <xf numFmtId="0" fontId="11" fillId="0" borderId="26" xfId="0" applyNumberFormat="1" applyFont="1" applyFill="1" applyBorder="1" applyAlignment="1">
      <alignment horizontal="left" vertical="center" shrinkToFit="1"/>
    </xf>
    <xf numFmtId="0" fontId="8" fillId="0" borderId="26" xfId="0" applyNumberFormat="1" applyFont="1" applyFill="1" applyBorder="1" applyAlignment="1">
      <alignment horizontal="left" vertical="center" shrinkToFit="1"/>
    </xf>
    <xf numFmtId="41" fontId="9" fillId="0" borderId="36" xfId="2" applyNumberFormat="1" applyFont="1" applyBorder="1" applyAlignment="1">
      <alignment horizontal="center" vertical="center"/>
    </xf>
    <xf numFmtId="41" fontId="12" fillId="0" borderId="8" xfId="4" applyNumberFormat="1" applyFont="1" applyFill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 shrinkToFit="1"/>
    </xf>
    <xf numFmtId="41" fontId="9" fillId="0" borderId="38" xfId="2" applyNumberFormat="1" applyFont="1" applyBorder="1" applyAlignment="1">
      <alignment horizontal="right" vertical="center"/>
    </xf>
    <xf numFmtId="41" fontId="9" fillId="0" borderId="24" xfId="2" applyNumberFormat="1" applyFont="1" applyFill="1" applyBorder="1" applyAlignment="1">
      <alignment horizontal="right" vertical="center"/>
    </xf>
    <xf numFmtId="41" fontId="9" fillId="0" borderId="7" xfId="4" applyNumberFormat="1" applyFont="1" applyFill="1" applyBorder="1" applyAlignment="1">
      <alignment horizontal="right" vertical="center"/>
    </xf>
    <xf numFmtId="0" fontId="8" fillId="0" borderId="22" xfId="0" applyNumberFormat="1" applyFont="1" applyBorder="1" applyAlignment="1">
      <alignment horizontal="left" vertical="center"/>
    </xf>
    <xf numFmtId="0" fontId="9" fillId="0" borderId="25" xfId="0" applyNumberFormat="1" applyFont="1" applyBorder="1" applyAlignment="1">
      <alignment horizontal="center" vertical="center" wrapText="1"/>
    </xf>
    <xf numFmtId="41" fontId="18" fillId="0" borderId="36" xfId="2" applyNumberFormat="1" applyFont="1" applyBorder="1" applyAlignment="1">
      <alignment horizontal="center" vertical="center"/>
    </xf>
    <xf numFmtId="41" fontId="18" fillId="0" borderId="8" xfId="2" applyNumberFormat="1" applyFont="1" applyBorder="1" applyAlignment="1">
      <alignment horizontal="center" vertical="center"/>
    </xf>
    <xf numFmtId="3" fontId="18" fillId="0" borderId="8" xfId="2" applyNumberFormat="1" applyFont="1" applyBorder="1" applyAlignment="1">
      <alignment horizontal="right" vertical="center"/>
    </xf>
    <xf numFmtId="41" fontId="16" fillId="0" borderId="2" xfId="4" applyNumberFormat="1" applyFont="1" applyBorder="1">
      <alignment vertical="center"/>
    </xf>
    <xf numFmtId="0" fontId="9" fillId="0" borderId="27" xfId="0" applyNumberFormat="1" applyFont="1" applyBorder="1" applyAlignment="1">
      <alignment horizontal="center" vertical="center" wrapText="1"/>
    </xf>
    <xf numFmtId="41" fontId="9" fillId="0" borderId="8" xfId="4" applyNumberFormat="1" applyFont="1" applyFill="1" applyBorder="1" applyAlignment="1">
      <alignment horizontal="right" vertical="center"/>
    </xf>
    <xf numFmtId="180" fontId="9" fillId="0" borderId="7" xfId="2" applyNumberFormat="1" applyFont="1" applyBorder="1" applyAlignment="1">
      <alignment horizontal="right" vertical="center"/>
    </xf>
    <xf numFmtId="41" fontId="9" fillId="0" borderId="37" xfId="2" applyNumberFormat="1" applyFont="1" applyFill="1" applyBorder="1" applyAlignment="1">
      <alignment horizontal="center" vertical="center"/>
    </xf>
    <xf numFmtId="41" fontId="9" fillId="0" borderId="8" xfId="4" applyNumberFormat="1" applyFont="1" applyFill="1" applyBorder="1" applyAlignment="1">
      <alignment horizontal="center" vertical="center"/>
    </xf>
    <xf numFmtId="178" fontId="9" fillId="0" borderId="37" xfId="2" applyNumberFormat="1" applyFont="1" applyFill="1" applyBorder="1" applyAlignment="1">
      <alignment horizontal="right" vertical="center"/>
    </xf>
    <xf numFmtId="0" fontId="11" fillId="0" borderId="22" xfId="0" applyNumberFormat="1" applyFont="1" applyBorder="1" applyAlignment="1">
      <alignment vertical="center" shrinkToFit="1"/>
    </xf>
    <xf numFmtId="180" fontId="9" fillId="0" borderId="8" xfId="2" applyNumberFormat="1" applyFont="1" applyBorder="1" applyAlignment="1">
      <alignment horizontal="right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70" xfId="0" applyNumberFormat="1" applyFont="1" applyBorder="1" applyAlignment="1">
      <alignment horizontal="center" vertical="center"/>
    </xf>
    <xf numFmtId="41" fontId="9" fillId="0" borderId="72" xfId="2" applyNumberFormat="1" applyFont="1" applyBorder="1" applyAlignment="1">
      <alignment horizontal="center" vertical="center"/>
    </xf>
    <xf numFmtId="41" fontId="9" fillId="0" borderId="77" xfId="2" applyNumberFormat="1" applyFont="1" applyFill="1" applyBorder="1" applyAlignment="1">
      <alignment horizontal="center" vertical="center"/>
    </xf>
    <xf numFmtId="41" fontId="9" fillId="0" borderId="14" xfId="4" applyNumberFormat="1" applyFont="1" applyFill="1" applyBorder="1" applyAlignment="1">
      <alignment horizontal="center" vertical="center"/>
    </xf>
    <xf numFmtId="3" fontId="9" fillId="0" borderId="14" xfId="2" applyNumberFormat="1" applyFont="1" applyFill="1" applyBorder="1" applyAlignment="1">
      <alignment horizontal="right" vertical="center"/>
    </xf>
    <xf numFmtId="180" fontId="9" fillId="0" borderId="10" xfId="2" applyNumberFormat="1" applyFont="1" applyBorder="1" applyAlignment="1">
      <alignment horizontal="right" vertical="center"/>
    </xf>
    <xf numFmtId="0" fontId="8" fillId="0" borderId="70" xfId="0" applyNumberFormat="1" applyFont="1" applyBorder="1" applyAlignment="1">
      <alignment horizontal="left" vertical="center"/>
    </xf>
    <xf numFmtId="41" fontId="8" fillId="0" borderId="21" xfId="2" applyNumberFormat="1" applyFont="1" applyBorder="1">
      <alignment vertical="center"/>
    </xf>
    <xf numFmtId="3" fontId="9" fillId="0" borderId="0" xfId="0" applyNumberFormat="1" applyFont="1">
      <alignment vertical="center"/>
    </xf>
    <xf numFmtId="41" fontId="9" fillId="0" borderId="0" xfId="4" applyNumberFormat="1" applyFont="1" applyFill="1" applyBorder="1" applyAlignment="1">
      <alignment horizontal="center" vertical="center"/>
    </xf>
    <xf numFmtId="3" fontId="9" fillId="0" borderId="0" xfId="2" applyNumberFormat="1" applyFont="1" applyFill="1" applyBorder="1" applyAlignment="1">
      <alignment horizontal="right" vertical="center"/>
    </xf>
    <xf numFmtId="180" fontId="9" fillId="0" borderId="0" xfId="2" applyNumberFormat="1" applyFont="1" applyBorder="1" applyAlignment="1">
      <alignment horizontal="right" vertical="center"/>
    </xf>
    <xf numFmtId="3" fontId="9" fillId="0" borderId="0" xfId="2" applyNumberFormat="1" applyFont="1" applyFill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0" fontId="11" fillId="0" borderId="0" xfId="0" applyNumberFormat="1" applyFont="1">
      <alignment vertical="center"/>
    </xf>
    <xf numFmtId="0" fontId="11" fillId="0" borderId="0" xfId="0" applyNumberFormat="1" applyFont="1" applyAlignment="1">
      <alignment horizontal="center" vertical="center"/>
    </xf>
  </cellXfs>
  <cellStyles count="7">
    <cellStyle name="백분율" xfId="1" builtinId="5"/>
    <cellStyle name="백분율 2" xfId="3"/>
    <cellStyle name="쉼표 [0]" xfId="2" builtinId="6"/>
    <cellStyle name="쉼표 [0] 2" xfId="4"/>
    <cellStyle name="쉼표 [0] 7" xfId="5"/>
    <cellStyle name="표준" xfId="0" builtinId="0"/>
    <cellStyle name="표준 2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33"/>
  <sheetViews>
    <sheetView zoomScaleNormal="100" zoomScaleSheetLayoutView="75" workbookViewId="0">
      <selection activeCell="P13" sqref="P13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17" t="s">
        <v>312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5</v>
      </c>
      <c r="C5" s="18" t="s">
        <v>568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6" ht="21.75" customHeight="1">
      <c r="B6" s="5"/>
      <c r="C6" s="19" t="s">
        <v>569</v>
      </c>
      <c r="D6" s="19"/>
      <c r="E6" s="19"/>
      <c r="F6" s="19"/>
      <c r="G6" s="19"/>
      <c r="H6" s="19"/>
      <c r="I6" s="19"/>
      <c r="J6" s="19"/>
      <c r="K6" s="19"/>
      <c r="L6" s="19"/>
      <c r="M6" s="4"/>
      <c r="N6" s="4"/>
      <c r="O6" s="4"/>
    </row>
    <row r="7" spans="1:16" ht="21.75" customHeight="1">
      <c r="B7" s="5"/>
      <c r="C7" s="18" t="s">
        <v>505</v>
      </c>
      <c r="D7" s="18"/>
      <c r="E7" s="21" t="s">
        <v>505</v>
      </c>
      <c r="F7" s="21"/>
      <c r="G7" s="18"/>
      <c r="H7" s="18"/>
      <c r="I7" s="18"/>
      <c r="J7" s="18"/>
      <c r="K7" s="18"/>
      <c r="L7" s="18"/>
      <c r="M7" s="4"/>
      <c r="N7" s="4"/>
      <c r="O7" s="4"/>
    </row>
    <row r="8" spans="1:16" ht="21.75" customHeight="1">
      <c r="B8" s="5" t="s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559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56</v>
      </c>
      <c r="E10" s="6"/>
      <c r="F10" s="13">
        <v>112555</v>
      </c>
      <c r="G10" s="13"/>
      <c r="H10" s="6" t="s">
        <v>504</v>
      </c>
      <c r="I10" s="6" t="s">
        <v>92</v>
      </c>
      <c r="J10" s="13">
        <v>17000</v>
      </c>
      <c r="K10" s="13"/>
      <c r="L10" s="6" t="s">
        <v>504</v>
      </c>
      <c r="M10" s="4"/>
      <c r="N10" s="4"/>
      <c r="O10" s="4"/>
    </row>
    <row r="11" spans="1:16" ht="21.75" customHeight="1">
      <c r="B11" s="5"/>
      <c r="C11" s="5"/>
      <c r="D11" s="5" t="s">
        <v>101</v>
      </c>
      <c r="E11" s="6"/>
      <c r="F11" s="13">
        <v>205000</v>
      </c>
      <c r="G11" s="13"/>
      <c r="H11" s="6" t="s">
        <v>504</v>
      </c>
      <c r="I11" s="6" t="s">
        <v>103</v>
      </c>
      <c r="J11" s="13">
        <v>2184809.784</v>
      </c>
      <c r="K11" s="13"/>
      <c r="L11" s="6" t="s">
        <v>504</v>
      </c>
      <c r="M11" s="4"/>
      <c r="N11" s="4"/>
      <c r="O11" s="4"/>
    </row>
    <row r="12" spans="1:16" ht="21.75" customHeight="1">
      <c r="B12" s="5"/>
      <c r="C12" s="5"/>
      <c r="D12" s="5" t="s">
        <v>40</v>
      </c>
      <c r="E12" s="6"/>
      <c r="F12" s="13">
        <v>1506396.4550000001</v>
      </c>
      <c r="G12" s="13"/>
      <c r="H12" s="6" t="s">
        <v>504</v>
      </c>
      <c r="I12" s="5" t="s">
        <v>132</v>
      </c>
      <c r="J12" s="20">
        <v>4546463.5979999993</v>
      </c>
      <c r="K12" s="20"/>
      <c r="L12" s="10" t="s">
        <v>504</v>
      </c>
      <c r="M12" s="6"/>
      <c r="N12" s="4"/>
      <c r="O12" s="4"/>
    </row>
    <row r="13" spans="1:16" ht="21.75" customHeight="1">
      <c r="B13" s="5"/>
      <c r="C13" s="5"/>
      <c r="D13" s="5" t="s">
        <v>100</v>
      </c>
      <c r="F13" s="13">
        <v>380929.97</v>
      </c>
      <c r="G13" s="13"/>
      <c r="H13" s="11" t="s">
        <v>504</v>
      </c>
      <c r="I13" s="11" t="s">
        <v>364</v>
      </c>
      <c r="J13" s="22">
        <v>0</v>
      </c>
      <c r="K13" s="23"/>
      <c r="L13" s="10" t="s">
        <v>504</v>
      </c>
      <c r="M13" s="4"/>
      <c r="N13" s="4"/>
      <c r="O13" s="4"/>
    </row>
    <row r="14" spans="1:16" ht="21.75" customHeight="1">
      <c r="B14" s="5"/>
      <c r="C14" s="5" t="s">
        <v>304</v>
      </c>
      <c r="D14" s="6"/>
      <c r="E14" s="6"/>
      <c r="F14" s="6"/>
      <c r="G14" s="6"/>
      <c r="H14" s="6"/>
      <c r="I14" s="6"/>
      <c r="J14" s="15"/>
      <c r="K14" s="15"/>
      <c r="L14" s="6"/>
      <c r="M14" s="4"/>
      <c r="N14" s="4"/>
      <c r="O14" s="4"/>
    </row>
    <row r="15" spans="1:16" ht="21.75" customHeight="1">
      <c r="B15" s="5"/>
      <c r="C15" s="5"/>
      <c r="D15" s="5" t="s">
        <v>69</v>
      </c>
      <c r="E15" s="6"/>
      <c r="F15" s="13">
        <v>1395904.3397349999</v>
      </c>
      <c r="G15" s="13"/>
      <c r="H15" s="6" t="s">
        <v>504</v>
      </c>
      <c r="I15" s="6" t="s">
        <v>544</v>
      </c>
      <c r="J15" s="13">
        <v>40517.47</v>
      </c>
      <c r="K15" s="13"/>
      <c r="L15" s="6" t="s">
        <v>504</v>
      </c>
      <c r="M15" s="4"/>
      <c r="N15" s="4"/>
      <c r="O15" s="4"/>
    </row>
    <row r="16" spans="1:16" ht="21.75" customHeight="1">
      <c r="B16" s="5"/>
      <c r="C16" s="5"/>
      <c r="D16" s="5" t="s">
        <v>71</v>
      </c>
      <c r="E16" s="6"/>
      <c r="F16" s="13">
        <v>1119194.101</v>
      </c>
      <c r="G16" s="13"/>
      <c r="H16" s="6" t="s">
        <v>504</v>
      </c>
      <c r="I16" s="6" t="s">
        <v>550</v>
      </c>
      <c r="J16" s="13">
        <v>0</v>
      </c>
      <c r="K16" s="13"/>
      <c r="L16" s="6" t="s">
        <v>504</v>
      </c>
      <c r="M16" s="4"/>
      <c r="N16" s="4"/>
      <c r="O16" s="4"/>
    </row>
    <row r="17" spans="2:15" ht="21.75" customHeight="1">
      <c r="B17" s="5"/>
      <c r="C17" s="5"/>
      <c r="D17" s="5" t="s">
        <v>78</v>
      </c>
      <c r="E17" s="6"/>
      <c r="F17" s="13">
        <v>17644.03</v>
      </c>
      <c r="G17" s="13"/>
      <c r="H17" s="6" t="s">
        <v>504</v>
      </c>
      <c r="I17" s="6" t="s">
        <v>61</v>
      </c>
      <c r="J17" s="13">
        <v>13700</v>
      </c>
      <c r="K17" s="13"/>
      <c r="L17" s="6" t="s">
        <v>504</v>
      </c>
      <c r="M17" s="4"/>
      <c r="N17" s="4"/>
      <c r="O17" s="4"/>
    </row>
    <row r="18" spans="2:15" ht="21.75" customHeight="1">
      <c r="B18" s="5"/>
      <c r="C18" s="5"/>
      <c r="D18" s="5" t="s">
        <v>546</v>
      </c>
      <c r="E18" s="6"/>
      <c r="F18" s="13">
        <v>1966217.10993</v>
      </c>
      <c r="G18" s="13"/>
      <c r="H18" s="6" t="s">
        <v>504</v>
      </c>
      <c r="I18" s="9" t="s">
        <v>549</v>
      </c>
      <c r="J18" s="13">
        <v>4399978.7560000001</v>
      </c>
      <c r="K18" s="13"/>
      <c r="L18" s="6" t="s">
        <v>504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13"/>
      <c r="G19" s="13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106</v>
      </c>
      <c r="C20" s="6" t="s">
        <v>526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560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505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81</v>
      </c>
      <c r="C23" s="6" t="s">
        <v>525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16"/>
      <c r="E25" s="16"/>
      <c r="F25" s="14"/>
      <c r="G25" s="14"/>
      <c r="H25" s="6"/>
      <c r="I25" s="6"/>
      <c r="J25" s="6"/>
      <c r="K25" s="6"/>
      <c r="L25" s="7"/>
    </row>
    <row r="26" spans="2:15" ht="21.75" customHeight="1">
      <c r="B26" s="5"/>
      <c r="C26" s="6" t="s">
        <v>505</v>
      </c>
      <c r="D26" s="16"/>
      <c r="E26" s="16"/>
      <c r="F26" s="14"/>
      <c r="G26" s="14"/>
      <c r="H26" s="6"/>
      <c r="I26" s="6"/>
      <c r="J26" s="6"/>
      <c r="K26" s="6"/>
      <c r="L26" s="7"/>
    </row>
    <row r="27" spans="2:15" ht="21.75" customHeight="1">
      <c r="B27" s="5"/>
      <c r="C27" s="6"/>
      <c r="D27" s="16"/>
      <c r="E27" s="16"/>
      <c r="F27" s="14"/>
      <c r="G27" s="14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J18:K18"/>
    <mergeCell ref="F27:G27"/>
    <mergeCell ref="F19:G19"/>
    <mergeCell ref="F25:G25"/>
    <mergeCell ref="J14:K14"/>
    <mergeCell ref="J15:K15"/>
  </mergeCells>
  <phoneticPr fontId="7" type="noConversion"/>
  <pageMargins left="0.41986110806465149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AA125"/>
  <sheetViews>
    <sheetView view="pageBreakPreview" zoomScaleNormal="100" zoomScaleSheetLayoutView="100" workbookViewId="0">
      <selection activeCell="AC96" sqref="AC96"/>
    </sheetView>
  </sheetViews>
  <sheetFormatPr defaultColWidth="9" defaultRowHeight="16.5"/>
  <cols>
    <col min="1" max="2" width="8.625" style="30" customWidth="1"/>
    <col min="3" max="3" width="14.625" style="30" customWidth="1"/>
    <col min="4" max="4" width="13.125" style="32" customWidth="1"/>
    <col min="5" max="5" width="13.125" style="31" customWidth="1"/>
    <col min="6" max="6" width="0.125" style="31" hidden="1" customWidth="1"/>
    <col min="7" max="7" width="10.625" style="729" customWidth="1"/>
    <col min="8" max="8" width="8.625" style="730" customWidth="1"/>
    <col min="9" max="9" width="23.75" style="731" customWidth="1"/>
    <col min="10" max="10" width="13.25" style="731" customWidth="1"/>
    <col min="11" max="12" width="3.125" style="732" customWidth="1"/>
    <col min="13" max="13" width="3.625" style="731" customWidth="1"/>
    <col min="14" max="15" width="3.125" style="731" customWidth="1"/>
    <col min="16" max="16" width="13.625" style="731" customWidth="1"/>
    <col min="17" max="17" width="3.125" style="731" customWidth="1"/>
    <col min="18" max="18" width="0.125" style="39" hidden="1" customWidth="1"/>
    <col min="19" max="19" width="20.875" style="40" hidden="1" customWidth="1"/>
    <col min="20" max="20" width="13.5" style="39" hidden="1" customWidth="1"/>
    <col min="21" max="21" width="31.25" style="39" hidden="1" customWidth="1"/>
    <col min="22" max="22" width="0.25" style="39" hidden="1" customWidth="1"/>
    <col min="23" max="26" width="9" style="39" hidden="1" customWidth="1"/>
    <col min="27" max="27" width="11.5" style="39" customWidth="1"/>
    <col min="28" max="16384" width="9" style="39"/>
  </cols>
  <sheetData>
    <row r="1" spans="1:19" ht="22.5">
      <c r="A1" s="538" t="s">
        <v>557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</row>
    <row r="2" spans="1:19" ht="22.5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</row>
    <row r="3" spans="1:19" ht="21.95" customHeight="1">
      <c r="A3" s="540" t="s">
        <v>155</v>
      </c>
      <c r="B3" s="43"/>
      <c r="C3" s="43"/>
      <c r="D3" s="43"/>
      <c r="E3" s="541"/>
      <c r="F3" s="541"/>
      <c r="G3" s="542"/>
      <c r="H3" s="543"/>
      <c r="I3" s="43"/>
      <c r="J3" s="43" t="s">
        <v>505</v>
      </c>
      <c r="K3" s="43"/>
      <c r="L3" s="43"/>
      <c r="M3" s="43"/>
      <c r="N3" s="43"/>
      <c r="O3" s="48" t="s">
        <v>289</v>
      </c>
      <c r="P3" s="48"/>
      <c r="Q3" s="48"/>
    </row>
    <row r="4" spans="1:19" ht="19.5" customHeight="1">
      <c r="A4" s="49" t="s">
        <v>476</v>
      </c>
      <c r="B4" s="544" t="s">
        <v>477</v>
      </c>
      <c r="C4" s="545" t="s">
        <v>461</v>
      </c>
      <c r="D4" s="52" t="s">
        <v>248</v>
      </c>
      <c r="E4" s="52" t="s">
        <v>254</v>
      </c>
      <c r="F4" s="546" t="s">
        <v>309</v>
      </c>
      <c r="G4" s="547" t="s">
        <v>35</v>
      </c>
      <c r="H4" s="547"/>
      <c r="I4" s="548" t="s">
        <v>571</v>
      </c>
      <c r="J4" s="544"/>
      <c r="K4" s="544"/>
      <c r="L4" s="544"/>
      <c r="M4" s="544"/>
      <c r="N4" s="544"/>
      <c r="O4" s="544"/>
      <c r="P4" s="544"/>
      <c r="Q4" s="50"/>
    </row>
    <row r="5" spans="1:19" ht="19.5" customHeight="1">
      <c r="A5" s="55"/>
      <c r="B5" s="549"/>
      <c r="C5" s="550"/>
      <c r="D5" s="58"/>
      <c r="E5" s="58"/>
      <c r="F5" s="551"/>
      <c r="G5" s="552" t="s">
        <v>466</v>
      </c>
      <c r="H5" s="553" t="s">
        <v>114</v>
      </c>
      <c r="I5" s="554"/>
      <c r="J5" s="549"/>
      <c r="K5" s="549"/>
      <c r="L5" s="549"/>
      <c r="M5" s="549"/>
      <c r="N5" s="549"/>
      <c r="O5" s="549"/>
      <c r="P5" s="549"/>
      <c r="Q5" s="56"/>
    </row>
    <row r="6" spans="1:19" ht="20.100000000000001" customHeight="1">
      <c r="A6" s="62" t="s">
        <v>11</v>
      </c>
      <c r="B6" s="63"/>
      <c r="C6" s="64"/>
      <c r="D6" s="65">
        <f>SUM(D7,D78,D45,D102,D22,D37,D40,D107)</f>
        <v>8970924</v>
      </c>
      <c r="E6" s="65">
        <f>SUM(E7,E78,E45,E102,E22,E37,E40,E107)</f>
        <v>8953154.807</v>
      </c>
      <c r="F6" s="555" t="e">
        <f>SUM(F7,#REF!,F78,F45,F102,F22,F37,#REF!,F40)</f>
        <v>#REF!</v>
      </c>
      <c r="G6" s="556">
        <f>+E6-D6</f>
        <v>-17769.19299999997</v>
      </c>
      <c r="H6" s="557">
        <f>+G6/D6*100</f>
        <v>-0.19807539334855551</v>
      </c>
      <c r="I6" s="71"/>
      <c r="J6" s="71"/>
      <c r="K6" s="72"/>
      <c r="L6" s="72"/>
      <c r="M6" s="71"/>
      <c r="N6" s="71"/>
      <c r="O6" s="71"/>
      <c r="P6" s="558">
        <f>SUM(P7,P22,P37,P40,P45,P78,P102,P107)</f>
        <v>8953154807</v>
      </c>
      <c r="Q6" s="559" t="s">
        <v>468</v>
      </c>
    </row>
    <row r="7" spans="1:19" s="37" customFormat="1" ht="18.95" customHeight="1">
      <c r="A7" s="76" t="s">
        <v>464</v>
      </c>
      <c r="B7" s="204" t="s">
        <v>484</v>
      </c>
      <c r="C7" s="205"/>
      <c r="D7" s="207">
        <f>SUM(D8)</f>
        <v>118335</v>
      </c>
      <c r="E7" s="560">
        <f>SUM(E8)</f>
        <v>112555</v>
      </c>
      <c r="F7" s="561">
        <f>SUM(F8)</f>
        <v>71084</v>
      </c>
      <c r="G7" s="562">
        <f>+E7-D7</f>
        <v>-5780</v>
      </c>
      <c r="H7" s="563">
        <f>+G7/D7*100</f>
        <v>-4.884438247348629</v>
      </c>
      <c r="I7" s="564"/>
      <c r="J7" s="564"/>
      <c r="K7" s="565"/>
      <c r="L7" s="565"/>
      <c r="M7" s="564"/>
      <c r="N7" s="564"/>
      <c r="O7" s="564"/>
      <c r="P7" s="566">
        <f>P8</f>
        <v>112555000</v>
      </c>
      <c r="Q7" s="212" t="s">
        <v>468</v>
      </c>
      <c r="S7" s="36"/>
    </row>
    <row r="8" spans="1:19" s="37" customFormat="1" ht="17.100000000000001" customHeight="1">
      <c r="A8" s="76" t="s">
        <v>492</v>
      </c>
      <c r="B8" s="178" t="s">
        <v>474</v>
      </c>
      <c r="C8" s="372" t="s">
        <v>459</v>
      </c>
      <c r="D8" s="374">
        <f>SUM(D9:D21)</f>
        <v>118335</v>
      </c>
      <c r="E8" s="567">
        <f>SUM(E9:E21)</f>
        <v>112555</v>
      </c>
      <c r="F8" s="568">
        <f>SUM(F9:F19)</f>
        <v>71084</v>
      </c>
      <c r="G8" s="569">
        <f>+E8-D8</f>
        <v>-5780</v>
      </c>
      <c r="H8" s="570">
        <f>+G8/D8*100</f>
        <v>-4.884438247348629</v>
      </c>
      <c r="I8" s="571"/>
      <c r="J8" s="571"/>
      <c r="K8" s="572"/>
      <c r="L8" s="572"/>
      <c r="M8" s="571"/>
      <c r="N8" s="571"/>
      <c r="O8" s="571"/>
      <c r="P8" s="185">
        <f>SUM(P9,P16,P20)</f>
        <v>112555000</v>
      </c>
      <c r="Q8" s="114" t="s">
        <v>468</v>
      </c>
      <c r="S8" s="36"/>
    </row>
    <row r="9" spans="1:19" s="37" customFormat="1" ht="17.100000000000001" customHeight="1">
      <c r="A9" s="133"/>
      <c r="B9" s="91" t="s">
        <v>7</v>
      </c>
      <c r="C9" s="321" t="s">
        <v>18</v>
      </c>
      <c r="D9" s="135">
        <v>65500</v>
      </c>
      <c r="E9" s="573">
        <f>+P9/1000</f>
        <v>58720</v>
      </c>
      <c r="F9" s="574">
        <v>0</v>
      </c>
      <c r="G9" s="575">
        <f>+E9-D9</f>
        <v>-6780</v>
      </c>
      <c r="H9" s="576">
        <f>+G9/D9*100</f>
        <v>-10.351145038167939</v>
      </c>
      <c r="I9" s="110"/>
      <c r="J9" s="111"/>
      <c r="K9" s="113"/>
      <c r="L9" s="113"/>
      <c r="M9" s="138" t="s">
        <v>473</v>
      </c>
      <c r="N9" s="138"/>
      <c r="O9" s="138"/>
      <c r="P9" s="111">
        <f>SUM(P10:P15)</f>
        <v>58720000</v>
      </c>
      <c r="Q9" s="114" t="s">
        <v>468</v>
      </c>
      <c r="S9" s="36"/>
    </row>
    <row r="10" spans="1:19" s="37" customFormat="1" ht="17.100000000000001" customHeight="1">
      <c r="A10" s="133"/>
      <c r="B10" s="104"/>
      <c r="C10" s="322"/>
      <c r="D10" s="140"/>
      <c r="E10" s="577"/>
      <c r="F10" s="578"/>
      <c r="G10" s="579"/>
      <c r="H10" s="580"/>
      <c r="I10" s="121" t="s">
        <v>303</v>
      </c>
      <c r="J10" s="581">
        <v>850000</v>
      </c>
      <c r="K10" s="101" t="s">
        <v>468</v>
      </c>
      <c r="L10" s="122" t="s">
        <v>469</v>
      </c>
      <c r="M10" s="101">
        <v>12</v>
      </c>
      <c r="N10" s="101" t="s">
        <v>472</v>
      </c>
      <c r="O10" s="101" t="s">
        <v>460</v>
      </c>
      <c r="P10" s="257">
        <f t="shared" ref="P10:P15" si="0">SUM(J10*M10)</f>
        <v>10200000</v>
      </c>
      <c r="Q10" s="125" t="s">
        <v>468</v>
      </c>
      <c r="S10" s="36"/>
    </row>
    <row r="11" spans="1:19" s="37" customFormat="1" ht="17.100000000000001" customHeight="1">
      <c r="A11" s="133"/>
      <c r="B11" s="104"/>
      <c r="C11" s="322"/>
      <c r="D11" s="140"/>
      <c r="E11" s="577"/>
      <c r="F11" s="582"/>
      <c r="G11" s="579"/>
      <c r="H11" s="580"/>
      <c r="I11" s="121" t="s">
        <v>275</v>
      </c>
      <c r="J11" s="581">
        <v>510000</v>
      </c>
      <c r="K11" s="101" t="s">
        <v>468</v>
      </c>
      <c r="L11" s="122" t="s">
        <v>469</v>
      </c>
      <c r="M11" s="101">
        <v>12</v>
      </c>
      <c r="N11" s="101" t="s">
        <v>472</v>
      </c>
      <c r="O11" s="101" t="s">
        <v>460</v>
      </c>
      <c r="P11" s="257">
        <f t="shared" si="0"/>
        <v>6120000</v>
      </c>
      <c r="Q11" s="125" t="s">
        <v>468</v>
      </c>
      <c r="S11" s="36"/>
    </row>
    <row r="12" spans="1:19" s="37" customFormat="1" ht="17.100000000000001" customHeight="1">
      <c r="A12" s="133"/>
      <c r="B12" s="104"/>
      <c r="C12" s="322"/>
      <c r="D12" s="140"/>
      <c r="E12" s="577"/>
      <c r="F12" s="578"/>
      <c r="G12" s="579"/>
      <c r="H12" s="580"/>
      <c r="I12" s="121" t="s">
        <v>382</v>
      </c>
      <c r="J12" s="581">
        <v>500000</v>
      </c>
      <c r="K12" s="101" t="s">
        <v>468</v>
      </c>
      <c r="L12" s="122" t="s">
        <v>469</v>
      </c>
      <c r="M12" s="101">
        <v>8</v>
      </c>
      <c r="N12" s="101" t="s">
        <v>472</v>
      </c>
      <c r="O12" s="101" t="s">
        <v>460</v>
      </c>
      <c r="P12" s="257">
        <f t="shared" si="0"/>
        <v>4000000</v>
      </c>
      <c r="Q12" s="125" t="s">
        <v>468</v>
      </c>
      <c r="S12" s="36"/>
    </row>
    <row r="13" spans="1:19" s="37" customFormat="1" ht="17.100000000000001" customHeight="1">
      <c r="A13" s="133"/>
      <c r="B13" s="104"/>
      <c r="C13" s="322"/>
      <c r="D13" s="140"/>
      <c r="E13" s="577"/>
      <c r="F13" s="578"/>
      <c r="G13" s="579"/>
      <c r="H13" s="580"/>
      <c r="I13" s="121" t="s">
        <v>410</v>
      </c>
      <c r="J13" s="581">
        <v>2100000</v>
      </c>
      <c r="K13" s="101" t="s">
        <v>468</v>
      </c>
      <c r="L13" s="122" t="s">
        <v>469</v>
      </c>
      <c r="M13" s="101">
        <v>12</v>
      </c>
      <c r="N13" s="101" t="s">
        <v>472</v>
      </c>
      <c r="O13" s="101" t="s">
        <v>460</v>
      </c>
      <c r="P13" s="257">
        <f t="shared" si="0"/>
        <v>25200000</v>
      </c>
      <c r="Q13" s="125" t="s">
        <v>468</v>
      </c>
      <c r="S13" s="36"/>
    </row>
    <row r="14" spans="1:19" s="37" customFormat="1" ht="17.100000000000001" customHeight="1">
      <c r="A14" s="133"/>
      <c r="B14" s="104"/>
      <c r="C14" s="322"/>
      <c r="D14" s="140"/>
      <c r="E14" s="577"/>
      <c r="F14" s="578"/>
      <c r="G14" s="579"/>
      <c r="H14" s="580"/>
      <c r="I14" s="121" t="s">
        <v>428</v>
      </c>
      <c r="J14" s="581">
        <v>975000</v>
      </c>
      <c r="K14" s="101" t="s">
        <v>468</v>
      </c>
      <c r="L14" s="122" t="s">
        <v>469</v>
      </c>
      <c r="M14" s="101">
        <v>12</v>
      </c>
      <c r="N14" s="101" t="s">
        <v>472</v>
      </c>
      <c r="O14" s="101" t="s">
        <v>460</v>
      </c>
      <c r="P14" s="257">
        <f t="shared" si="0"/>
        <v>11700000</v>
      </c>
      <c r="Q14" s="125" t="s">
        <v>468</v>
      </c>
      <c r="S14" s="36"/>
    </row>
    <row r="15" spans="1:19" s="37" customFormat="1" ht="17.100000000000001" customHeight="1">
      <c r="A15" s="133"/>
      <c r="B15" s="104"/>
      <c r="C15" s="324"/>
      <c r="D15" s="146"/>
      <c r="E15" s="583"/>
      <c r="F15" s="578"/>
      <c r="G15" s="584"/>
      <c r="H15" s="585"/>
      <c r="I15" s="121" t="s">
        <v>235</v>
      </c>
      <c r="J15" s="159">
        <v>750000</v>
      </c>
      <c r="K15" s="101" t="s">
        <v>468</v>
      </c>
      <c r="L15" s="122" t="s">
        <v>469</v>
      </c>
      <c r="M15" s="101">
        <v>2</v>
      </c>
      <c r="N15" s="101" t="s">
        <v>467</v>
      </c>
      <c r="O15" s="101" t="s">
        <v>460</v>
      </c>
      <c r="P15" s="257">
        <f t="shared" si="0"/>
        <v>1500000</v>
      </c>
      <c r="Q15" s="125" t="s">
        <v>468</v>
      </c>
      <c r="S15" s="36"/>
    </row>
    <row r="16" spans="1:19" s="37" customFormat="1" ht="17.100000000000001" customHeight="1">
      <c r="A16" s="133"/>
      <c r="B16" s="104"/>
      <c r="C16" s="353" t="s">
        <v>290</v>
      </c>
      <c r="D16" s="135">
        <v>52625</v>
      </c>
      <c r="E16" s="573">
        <f>+P16/1000</f>
        <v>52625</v>
      </c>
      <c r="F16" s="586">
        <v>71084</v>
      </c>
      <c r="G16" s="587">
        <f>+E16-D16</f>
        <v>0</v>
      </c>
      <c r="H16" s="588">
        <f>+G16/D16*100</f>
        <v>0</v>
      </c>
      <c r="I16" s="110"/>
      <c r="J16" s="111"/>
      <c r="K16" s="113"/>
      <c r="L16" s="113"/>
      <c r="M16" s="138" t="s">
        <v>473</v>
      </c>
      <c r="N16" s="138"/>
      <c r="O16" s="138"/>
      <c r="P16" s="111">
        <f>SUM(P17:P19)</f>
        <v>52625000</v>
      </c>
      <c r="Q16" s="114" t="s">
        <v>468</v>
      </c>
      <c r="S16" s="36"/>
    </row>
    <row r="17" spans="1:19" s="37" customFormat="1" ht="17.100000000000001" customHeight="1">
      <c r="A17" s="133"/>
      <c r="B17" s="104"/>
      <c r="C17" s="355"/>
      <c r="D17" s="140"/>
      <c r="E17" s="577"/>
      <c r="F17" s="589"/>
      <c r="G17" s="590"/>
      <c r="H17" s="591"/>
      <c r="I17" s="121" t="s">
        <v>259</v>
      </c>
      <c r="J17" s="257">
        <v>7200000</v>
      </c>
      <c r="K17" s="101" t="s">
        <v>468</v>
      </c>
      <c r="L17" s="122" t="s">
        <v>469</v>
      </c>
      <c r="M17" s="101">
        <v>1</v>
      </c>
      <c r="N17" s="101" t="s">
        <v>467</v>
      </c>
      <c r="O17" s="123" t="s">
        <v>460</v>
      </c>
      <c r="P17" s="257">
        <f>J17*M17</f>
        <v>7200000</v>
      </c>
      <c r="Q17" s="125" t="s">
        <v>468</v>
      </c>
      <c r="S17" s="36"/>
    </row>
    <row r="18" spans="1:19" s="37" customFormat="1" ht="17.100000000000001" customHeight="1">
      <c r="A18" s="133"/>
      <c r="B18" s="104"/>
      <c r="C18" s="355"/>
      <c r="D18" s="140"/>
      <c r="E18" s="577"/>
      <c r="F18" s="589"/>
      <c r="G18" s="590"/>
      <c r="H18" s="591"/>
      <c r="I18" s="121" t="s">
        <v>279</v>
      </c>
      <c r="J18" s="257">
        <v>5037500</v>
      </c>
      <c r="K18" s="101" t="s">
        <v>468</v>
      </c>
      <c r="L18" s="122" t="s">
        <v>469</v>
      </c>
      <c r="M18" s="101">
        <v>6</v>
      </c>
      <c r="N18" s="101" t="s">
        <v>467</v>
      </c>
      <c r="O18" s="123" t="s">
        <v>460</v>
      </c>
      <c r="P18" s="257">
        <f>J18*M18</f>
        <v>30225000</v>
      </c>
      <c r="Q18" s="125" t="s">
        <v>468</v>
      </c>
      <c r="S18" s="36"/>
    </row>
    <row r="19" spans="1:19" s="37" customFormat="1" ht="17.100000000000001" customHeight="1">
      <c r="A19" s="133"/>
      <c r="B19" s="104"/>
      <c r="C19" s="355"/>
      <c r="D19" s="140"/>
      <c r="E19" s="577"/>
      <c r="F19" s="589"/>
      <c r="G19" s="590"/>
      <c r="H19" s="591"/>
      <c r="I19" s="121" t="s">
        <v>285</v>
      </c>
      <c r="J19" s="257">
        <v>3040000</v>
      </c>
      <c r="K19" s="101" t="s">
        <v>468</v>
      </c>
      <c r="L19" s="122" t="s">
        <v>469</v>
      </c>
      <c r="M19" s="101">
        <v>5</v>
      </c>
      <c r="N19" s="101" t="s">
        <v>467</v>
      </c>
      <c r="O19" s="123" t="s">
        <v>460</v>
      </c>
      <c r="P19" s="257">
        <f>J19*M19</f>
        <v>15200000</v>
      </c>
      <c r="Q19" s="125" t="s">
        <v>468</v>
      </c>
      <c r="S19" s="36"/>
    </row>
    <row r="20" spans="1:19" s="37" customFormat="1" ht="17.100000000000001" customHeight="1">
      <c r="A20" s="133"/>
      <c r="B20" s="104"/>
      <c r="C20" s="321" t="s">
        <v>102</v>
      </c>
      <c r="D20" s="135">
        <v>210</v>
      </c>
      <c r="E20" s="573">
        <f>P20/1000</f>
        <v>1210</v>
      </c>
      <c r="F20" s="582"/>
      <c r="G20" s="587">
        <f>E20-D20</f>
        <v>1000</v>
      </c>
      <c r="H20" s="588">
        <f>G20/D20*100</f>
        <v>476.1904761904762</v>
      </c>
      <c r="I20" s="110"/>
      <c r="J20" s="111"/>
      <c r="K20" s="113"/>
      <c r="L20" s="214"/>
      <c r="M20" s="138" t="s">
        <v>473</v>
      </c>
      <c r="N20" s="138"/>
      <c r="O20" s="138"/>
      <c r="P20" s="251">
        <f>SUM(P21:P21)</f>
        <v>1210000</v>
      </c>
      <c r="Q20" s="114" t="s">
        <v>468</v>
      </c>
      <c r="S20" s="36"/>
    </row>
    <row r="21" spans="1:19" s="37" customFormat="1" ht="17.100000000000001" customHeight="1">
      <c r="A21" s="133"/>
      <c r="B21" s="104"/>
      <c r="C21" s="322"/>
      <c r="D21" s="140"/>
      <c r="E21" s="577"/>
      <c r="F21" s="582"/>
      <c r="G21" s="590"/>
      <c r="H21" s="591"/>
      <c r="I21" s="121" t="s">
        <v>244</v>
      </c>
      <c r="J21" s="99">
        <v>605000</v>
      </c>
      <c r="K21" s="101" t="s">
        <v>468</v>
      </c>
      <c r="L21" s="122" t="s">
        <v>469</v>
      </c>
      <c r="M21" s="101">
        <v>2</v>
      </c>
      <c r="N21" s="101" t="s">
        <v>467</v>
      </c>
      <c r="O21" s="123" t="s">
        <v>516</v>
      </c>
      <c r="P21" s="257">
        <f>J21*M21</f>
        <v>1210000</v>
      </c>
      <c r="Q21" s="125" t="s">
        <v>468</v>
      </c>
      <c r="S21" s="36"/>
    </row>
    <row r="22" spans="1:19" s="37" customFormat="1" ht="18.95" customHeight="1">
      <c r="A22" s="429" t="s">
        <v>115</v>
      </c>
      <c r="B22" s="592" t="s">
        <v>484</v>
      </c>
      <c r="C22" s="430"/>
      <c r="D22" s="593">
        <f>SUM(D23)</f>
        <v>33730</v>
      </c>
      <c r="E22" s="594">
        <f>SUM(E23)</f>
        <v>17000</v>
      </c>
      <c r="F22" s="595">
        <f>SUM(F23)</f>
        <v>16236384</v>
      </c>
      <c r="G22" s="596">
        <f>+E22-D22</f>
        <v>-16730</v>
      </c>
      <c r="H22" s="597">
        <f>+G22/D22*100</f>
        <v>-49.599762822413282</v>
      </c>
      <c r="I22" s="242"/>
      <c r="J22" s="242"/>
      <c r="K22" s="243"/>
      <c r="L22" s="243"/>
      <c r="M22" s="242"/>
      <c r="N22" s="242"/>
      <c r="O22" s="242"/>
      <c r="P22" s="598">
        <f>P23</f>
        <v>17000000</v>
      </c>
      <c r="Q22" s="401" t="s">
        <v>468</v>
      </c>
      <c r="S22" s="36"/>
    </row>
    <row r="23" spans="1:19" s="37" customFormat="1" ht="17.100000000000001" customHeight="1">
      <c r="A23" s="133"/>
      <c r="B23" s="91" t="s">
        <v>115</v>
      </c>
      <c r="C23" s="384" t="s">
        <v>459</v>
      </c>
      <c r="D23" s="408">
        <f>SUM(D24)</f>
        <v>33730</v>
      </c>
      <c r="E23" s="599">
        <f>SUM(E24)</f>
        <v>17000</v>
      </c>
      <c r="F23" s="600">
        <f>SUM(F24:F115)</f>
        <v>16236384</v>
      </c>
      <c r="G23" s="601">
        <f>+E23-D23</f>
        <v>-16730</v>
      </c>
      <c r="H23" s="570">
        <f>+G23/D23*100</f>
        <v>-49.599762822413282</v>
      </c>
      <c r="I23" s="100"/>
      <c r="J23" s="100"/>
      <c r="K23" s="101"/>
      <c r="L23" s="101"/>
      <c r="M23" s="100"/>
      <c r="N23" s="100"/>
      <c r="O23" s="100"/>
      <c r="P23" s="189">
        <f>P24</f>
        <v>17000000</v>
      </c>
      <c r="Q23" s="125" t="s">
        <v>468</v>
      </c>
      <c r="S23" s="36"/>
    </row>
    <row r="24" spans="1:19" s="37" customFormat="1" ht="17.100000000000001" customHeight="1">
      <c r="A24" s="133"/>
      <c r="B24" s="104"/>
      <c r="C24" s="321" t="s">
        <v>93</v>
      </c>
      <c r="D24" s="135">
        <v>33730</v>
      </c>
      <c r="E24" s="573">
        <f>+P24/1000</f>
        <v>17000</v>
      </c>
      <c r="F24" s="586">
        <v>10450</v>
      </c>
      <c r="G24" s="587">
        <f>+E24-D24</f>
        <v>-16730</v>
      </c>
      <c r="H24" s="588">
        <f>+G24/D24*100</f>
        <v>-49.599762822413282</v>
      </c>
      <c r="I24" s="602"/>
      <c r="J24" s="603"/>
      <c r="K24" s="113"/>
      <c r="L24" s="113"/>
      <c r="M24" s="604" t="s">
        <v>473</v>
      </c>
      <c r="N24" s="604"/>
      <c r="O24" s="604"/>
      <c r="P24" s="605">
        <f>SUM(P25:P36)</f>
        <v>17000000</v>
      </c>
      <c r="Q24" s="114" t="s">
        <v>468</v>
      </c>
      <c r="S24" s="36"/>
    </row>
    <row r="25" spans="1:19" s="37" customFormat="1" ht="17.100000000000001" customHeight="1">
      <c r="A25" s="76"/>
      <c r="B25" s="104"/>
      <c r="C25" s="322"/>
      <c r="D25" s="140"/>
      <c r="E25" s="577"/>
      <c r="F25" s="589"/>
      <c r="G25" s="590"/>
      <c r="H25" s="591"/>
      <c r="I25" s="606" t="s">
        <v>307</v>
      </c>
      <c r="J25" s="290">
        <v>30000</v>
      </c>
      <c r="K25" s="200" t="s">
        <v>468</v>
      </c>
      <c r="L25" s="199" t="s">
        <v>469</v>
      </c>
      <c r="M25" s="200">
        <v>40</v>
      </c>
      <c r="N25" s="200" t="s">
        <v>506</v>
      </c>
      <c r="O25" s="201" t="s">
        <v>460</v>
      </c>
      <c r="P25" s="290">
        <f t="shared" ref="P25:P33" si="1">SUM(J25*M25)</f>
        <v>1200000</v>
      </c>
      <c r="Q25" s="202" t="s">
        <v>468</v>
      </c>
      <c r="S25" s="36"/>
    </row>
    <row r="26" spans="1:19" s="37" customFormat="1" ht="17.100000000000001" customHeight="1">
      <c r="A26" s="133"/>
      <c r="B26" s="104"/>
      <c r="C26" s="322"/>
      <c r="D26" s="140"/>
      <c r="E26" s="577"/>
      <c r="F26" s="589"/>
      <c r="G26" s="590"/>
      <c r="H26" s="591"/>
      <c r="I26" s="606" t="s">
        <v>292</v>
      </c>
      <c r="J26" s="290">
        <v>10000</v>
      </c>
      <c r="K26" s="200" t="s">
        <v>468</v>
      </c>
      <c r="L26" s="199" t="s">
        <v>469</v>
      </c>
      <c r="M26" s="200">
        <v>0</v>
      </c>
      <c r="N26" s="200" t="s">
        <v>506</v>
      </c>
      <c r="O26" s="201" t="s">
        <v>460</v>
      </c>
      <c r="P26" s="290">
        <f t="shared" si="1"/>
        <v>0</v>
      </c>
      <c r="Q26" s="202" t="s">
        <v>468</v>
      </c>
      <c r="S26" s="36"/>
    </row>
    <row r="27" spans="1:19" s="37" customFormat="1" ht="17.100000000000001" customHeight="1">
      <c r="A27" s="133"/>
      <c r="B27" s="104"/>
      <c r="C27" s="322"/>
      <c r="D27" s="140"/>
      <c r="E27" s="577"/>
      <c r="F27" s="589"/>
      <c r="G27" s="590"/>
      <c r="H27" s="591"/>
      <c r="I27" s="606" t="s">
        <v>230</v>
      </c>
      <c r="J27" s="290">
        <v>5000</v>
      </c>
      <c r="K27" s="200" t="s">
        <v>468</v>
      </c>
      <c r="L27" s="199" t="s">
        <v>469</v>
      </c>
      <c r="M27" s="200">
        <v>20</v>
      </c>
      <c r="N27" s="200" t="s">
        <v>506</v>
      </c>
      <c r="O27" s="201" t="s">
        <v>460</v>
      </c>
      <c r="P27" s="290">
        <f t="shared" si="1"/>
        <v>100000</v>
      </c>
      <c r="Q27" s="202" t="s">
        <v>468</v>
      </c>
      <c r="S27" s="36"/>
    </row>
    <row r="28" spans="1:19" s="37" customFormat="1" ht="17.100000000000001" customHeight="1">
      <c r="A28" s="133"/>
      <c r="B28" s="104"/>
      <c r="C28" s="322"/>
      <c r="D28" s="140"/>
      <c r="E28" s="577"/>
      <c r="F28" s="589"/>
      <c r="G28" s="590"/>
      <c r="H28" s="591"/>
      <c r="I28" s="606" t="s">
        <v>242</v>
      </c>
      <c r="J28" s="290">
        <v>70000</v>
      </c>
      <c r="K28" s="200" t="s">
        <v>468</v>
      </c>
      <c r="L28" s="199" t="s">
        <v>469</v>
      </c>
      <c r="M28" s="200">
        <v>0</v>
      </c>
      <c r="N28" s="200" t="s">
        <v>506</v>
      </c>
      <c r="O28" s="201" t="s">
        <v>460</v>
      </c>
      <c r="P28" s="290">
        <f t="shared" si="1"/>
        <v>0</v>
      </c>
      <c r="Q28" s="202" t="s">
        <v>468</v>
      </c>
      <c r="S28" s="36"/>
    </row>
    <row r="29" spans="1:19" s="37" customFormat="1" ht="17.100000000000001" customHeight="1">
      <c r="A29" s="76"/>
      <c r="B29" s="104"/>
      <c r="C29" s="322"/>
      <c r="D29" s="140"/>
      <c r="E29" s="577"/>
      <c r="F29" s="589"/>
      <c r="G29" s="590"/>
      <c r="H29" s="591"/>
      <c r="I29" s="606" t="s">
        <v>450</v>
      </c>
      <c r="J29" s="290">
        <v>10000</v>
      </c>
      <c r="K29" s="200" t="s">
        <v>468</v>
      </c>
      <c r="L29" s="199" t="s">
        <v>469</v>
      </c>
      <c r="M29" s="200">
        <v>40</v>
      </c>
      <c r="N29" s="200" t="s">
        <v>506</v>
      </c>
      <c r="O29" s="201" t="s">
        <v>460</v>
      </c>
      <c r="P29" s="290">
        <f t="shared" si="1"/>
        <v>400000</v>
      </c>
      <c r="Q29" s="202" t="s">
        <v>468</v>
      </c>
      <c r="S29" s="36"/>
    </row>
    <row r="30" spans="1:19" s="37" customFormat="1" ht="17.100000000000001" customHeight="1">
      <c r="A30" s="76"/>
      <c r="B30" s="104"/>
      <c r="C30" s="322"/>
      <c r="D30" s="140"/>
      <c r="E30" s="577"/>
      <c r="F30" s="589"/>
      <c r="G30" s="590"/>
      <c r="H30" s="591"/>
      <c r="I30" s="606" t="s">
        <v>451</v>
      </c>
      <c r="J30" s="290">
        <v>20000</v>
      </c>
      <c r="K30" s="200" t="s">
        <v>468</v>
      </c>
      <c r="L30" s="199" t="s">
        <v>469</v>
      </c>
      <c r="M30" s="200">
        <v>20</v>
      </c>
      <c r="N30" s="200" t="s">
        <v>506</v>
      </c>
      <c r="O30" s="201" t="str">
        <f>O32</f>
        <v>=</v>
      </c>
      <c r="P30" s="290">
        <f t="shared" si="1"/>
        <v>400000</v>
      </c>
      <c r="Q30" s="202" t="s">
        <v>468</v>
      </c>
      <c r="S30" s="36"/>
    </row>
    <row r="31" spans="1:19" s="37" customFormat="1" ht="17.100000000000001" customHeight="1">
      <c r="A31" s="76" t="s">
        <v>115</v>
      </c>
      <c r="B31" s="91" t="s">
        <v>115</v>
      </c>
      <c r="C31" s="516" t="s">
        <v>93</v>
      </c>
      <c r="D31" s="607"/>
      <c r="E31" s="608"/>
      <c r="F31" s="589"/>
      <c r="G31" s="609"/>
      <c r="H31" s="610"/>
      <c r="I31" s="606" t="s">
        <v>456</v>
      </c>
      <c r="J31" s="290">
        <v>20000</v>
      </c>
      <c r="K31" s="200" t="s">
        <v>468</v>
      </c>
      <c r="L31" s="199" t="s">
        <v>469</v>
      </c>
      <c r="M31" s="200">
        <v>20</v>
      </c>
      <c r="N31" s="200" t="s">
        <v>506</v>
      </c>
      <c r="O31" s="201" t="s">
        <v>460</v>
      </c>
      <c r="P31" s="290">
        <f t="shared" si="1"/>
        <v>400000</v>
      </c>
      <c r="Q31" s="202" t="s">
        <v>468</v>
      </c>
      <c r="S31" s="36"/>
    </row>
    <row r="32" spans="1:19" s="37" customFormat="1" ht="17.100000000000001" customHeight="1">
      <c r="A32" s="133"/>
      <c r="B32" s="104"/>
      <c r="C32" s="611"/>
      <c r="D32" s="607"/>
      <c r="E32" s="608"/>
      <c r="F32" s="589"/>
      <c r="G32" s="609"/>
      <c r="H32" s="610"/>
      <c r="I32" s="606" t="s">
        <v>245</v>
      </c>
      <c r="J32" s="290">
        <v>70000</v>
      </c>
      <c r="K32" s="200" t="s">
        <v>468</v>
      </c>
      <c r="L32" s="199" t="s">
        <v>469</v>
      </c>
      <c r="M32" s="200">
        <v>20</v>
      </c>
      <c r="N32" s="200" t="s">
        <v>506</v>
      </c>
      <c r="O32" s="201" t="s">
        <v>460</v>
      </c>
      <c r="P32" s="290">
        <f t="shared" si="1"/>
        <v>1400000</v>
      </c>
      <c r="Q32" s="202" t="s">
        <v>468</v>
      </c>
      <c r="S32" s="36"/>
    </row>
    <row r="33" spans="1:19" s="37" customFormat="1" ht="17.100000000000001" customHeight="1">
      <c r="A33" s="133"/>
      <c r="B33" s="104"/>
      <c r="C33" s="611"/>
      <c r="D33" s="607"/>
      <c r="E33" s="608"/>
      <c r="F33" s="589"/>
      <c r="G33" s="609"/>
      <c r="H33" s="610"/>
      <c r="I33" s="606" t="s">
        <v>340</v>
      </c>
      <c r="J33" s="290">
        <v>20000</v>
      </c>
      <c r="K33" s="200" t="s">
        <v>468</v>
      </c>
      <c r="L33" s="199" t="s">
        <v>469</v>
      </c>
      <c r="M33" s="200">
        <v>80</v>
      </c>
      <c r="N33" s="200" t="s">
        <v>506</v>
      </c>
      <c r="O33" s="201" t="s">
        <v>460</v>
      </c>
      <c r="P33" s="290">
        <f t="shared" si="1"/>
        <v>1600000</v>
      </c>
      <c r="Q33" s="202" t="s">
        <v>468</v>
      </c>
      <c r="S33" s="36"/>
    </row>
    <row r="34" spans="1:19" s="37" customFormat="1" ht="17.100000000000001" customHeight="1">
      <c r="A34" s="133"/>
      <c r="B34" s="104"/>
      <c r="C34" s="611"/>
      <c r="D34" s="607"/>
      <c r="E34" s="608"/>
      <c r="F34" s="589"/>
      <c r="G34" s="609"/>
      <c r="H34" s="610"/>
      <c r="I34" s="606" t="s">
        <v>291</v>
      </c>
      <c r="J34" s="290">
        <v>7350000</v>
      </c>
      <c r="K34" s="200" t="s">
        <v>468</v>
      </c>
      <c r="L34" s="199" t="s">
        <v>469</v>
      </c>
      <c r="M34" s="200">
        <v>1</v>
      </c>
      <c r="N34" s="200" t="s">
        <v>467</v>
      </c>
      <c r="O34" s="201" t="s">
        <v>460</v>
      </c>
      <c r="P34" s="290">
        <f>SUM(J34*M34)</f>
        <v>7350000</v>
      </c>
      <c r="Q34" s="202" t="s">
        <v>468</v>
      </c>
      <c r="S34" s="36"/>
    </row>
    <row r="35" spans="1:19" s="37" customFormat="1" ht="17.100000000000001" customHeight="1">
      <c r="A35" s="133"/>
      <c r="B35" s="104"/>
      <c r="C35" s="611"/>
      <c r="D35" s="607"/>
      <c r="E35" s="608"/>
      <c r="F35" s="589"/>
      <c r="G35" s="609"/>
      <c r="H35" s="610"/>
      <c r="I35" s="606" t="s">
        <v>271</v>
      </c>
      <c r="J35" s="290">
        <v>4150000</v>
      </c>
      <c r="K35" s="200" t="s">
        <v>468</v>
      </c>
      <c r="L35" s="199" t="s">
        <v>469</v>
      </c>
      <c r="M35" s="200">
        <v>1</v>
      </c>
      <c r="N35" s="200" t="s">
        <v>467</v>
      </c>
      <c r="O35" s="201" t="s">
        <v>460</v>
      </c>
      <c r="P35" s="290">
        <f>SUM(J35*M35)</f>
        <v>4150000</v>
      </c>
      <c r="Q35" s="202" t="s">
        <v>468</v>
      </c>
      <c r="S35" s="36" t="s">
        <v>505</v>
      </c>
    </row>
    <row r="36" spans="1:19" s="37" customFormat="1" ht="17.100000000000001" customHeight="1">
      <c r="A36" s="133"/>
      <c r="B36" s="104"/>
      <c r="C36" s="516"/>
      <c r="D36" s="408"/>
      <c r="E36" s="612"/>
      <c r="F36" s="589"/>
      <c r="G36" s="613"/>
      <c r="H36" s="614"/>
      <c r="I36" s="606" t="s">
        <v>261</v>
      </c>
      <c r="J36" s="615">
        <v>0</v>
      </c>
      <c r="K36" s="200" t="s">
        <v>468</v>
      </c>
      <c r="L36" s="199" t="s">
        <v>469</v>
      </c>
      <c r="M36" s="200">
        <v>40</v>
      </c>
      <c r="N36" s="200" t="s">
        <v>506</v>
      </c>
      <c r="O36" s="616" t="e">
        <f>세출명세서!#REF!</f>
        <v>#REF!</v>
      </c>
      <c r="P36" s="290">
        <f>SUM(J36*M36)</f>
        <v>0</v>
      </c>
      <c r="Q36" s="202" t="s">
        <v>468</v>
      </c>
      <c r="S36" s="36"/>
    </row>
    <row r="37" spans="1:19" s="622" customFormat="1" ht="18.95" hidden="1" customHeight="1">
      <c r="A37" s="429" t="s">
        <v>24</v>
      </c>
      <c r="B37" s="592" t="s">
        <v>484</v>
      </c>
      <c r="C37" s="430"/>
      <c r="D37" s="593">
        <f t="shared" ref="D37:F38" si="2">SUM(D38)</f>
        <v>0</v>
      </c>
      <c r="E37" s="594">
        <f t="shared" si="2"/>
        <v>0</v>
      </c>
      <c r="F37" s="617">
        <f t="shared" si="2"/>
        <v>2302</v>
      </c>
      <c r="G37" s="596">
        <f t="shared" ref="G37:G42" si="3">+E37-D37</f>
        <v>0</v>
      </c>
      <c r="H37" s="597">
        <v>0</v>
      </c>
      <c r="I37" s="618"/>
      <c r="J37" s="618"/>
      <c r="K37" s="619"/>
      <c r="L37" s="619"/>
      <c r="M37" s="618"/>
      <c r="N37" s="618"/>
      <c r="O37" s="618"/>
      <c r="P37" s="620">
        <f>P38</f>
        <v>0</v>
      </c>
      <c r="Q37" s="621" t="s">
        <v>468</v>
      </c>
      <c r="S37" s="623"/>
    </row>
    <row r="38" spans="1:19" s="37" customFormat="1" ht="17.100000000000001" hidden="1" customHeight="1">
      <c r="A38" s="133"/>
      <c r="B38" s="624" t="s">
        <v>24</v>
      </c>
      <c r="C38" s="625" t="s">
        <v>459</v>
      </c>
      <c r="D38" s="388">
        <f>D39</f>
        <v>0</v>
      </c>
      <c r="E38" s="626">
        <f t="shared" si="2"/>
        <v>0</v>
      </c>
      <c r="F38" s="627">
        <f t="shared" si="2"/>
        <v>2302</v>
      </c>
      <c r="G38" s="569">
        <f t="shared" si="3"/>
        <v>0</v>
      </c>
      <c r="H38" s="570">
        <v>0</v>
      </c>
      <c r="I38" s="628"/>
      <c r="J38" s="629"/>
      <c r="K38" s="630"/>
      <c r="L38" s="630"/>
      <c r="M38" s="629"/>
      <c r="N38" s="629"/>
      <c r="O38" s="629"/>
      <c r="P38" s="631">
        <f>P39</f>
        <v>0</v>
      </c>
      <c r="Q38" s="632" t="s">
        <v>468</v>
      </c>
      <c r="S38" s="36"/>
    </row>
    <row r="39" spans="1:19" s="37" customFormat="1" ht="17.100000000000001" hidden="1" customHeight="1">
      <c r="A39" s="133"/>
      <c r="B39" s="104"/>
      <c r="C39" s="315" t="s">
        <v>24</v>
      </c>
      <c r="D39" s="408">
        <v>0</v>
      </c>
      <c r="E39" s="612">
        <f>+P39/1000</f>
        <v>0</v>
      </c>
      <c r="F39" s="578">
        <v>2302</v>
      </c>
      <c r="G39" s="569">
        <f t="shared" si="3"/>
        <v>0</v>
      </c>
      <c r="H39" s="570">
        <v>0</v>
      </c>
      <c r="I39" s="121" t="s">
        <v>257</v>
      </c>
      <c r="J39" s="257">
        <v>0</v>
      </c>
      <c r="K39" s="101" t="s">
        <v>468</v>
      </c>
      <c r="L39" s="122" t="s">
        <v>469</v>
      </c>
      <c r="M39" s="101">
        <v>1</v>
      </c>
      <c r="N39" s="101" t="s">
        <v>467</v>
      </c>
      <c r="O39" s="101" t="s">
        <v>460</v>
      </c>
      <c r="P39" s="257">
        <f>J39*M39</f>
        <v>0</v>
      </c>
      <c r="Q39" s="125" t="s">
        <v>468</v>
      </c>
      <c r="S39" s="36"/>
    </row>
    <row r="40" spans="1:19" s="37" customFormat="1" ht="18.95" customHeight="1">
      <c r="A40" s="633" t="s">
        <v>46</v>
      </c>
      <c r="B40" s="592" t="s">
        <v>484</v>
      </c>
      <c r="C40" s="430"/>
      <c r="D40" s="593">
        <f t="shared" ref="D40:F41" si="4">SUM(D41)</f>
        <v>205000</v>
      </c>
      <c r="E40" s="594">
        <f t="shared" si="4"/>
        <v>205000</v>
      </c>
      <c r="F40" s="617">
        <f t="shared" si="4"/>
        <v>56700</v>
      </c>
      <c r="G40" s="596">
        <f t="shared" si="3"/>
        <v>0</v>
      </c>
      <c r="H40" s="597">
        <f>+G40/D40*100</f>
        <v>0</v>
      </c>
      <c r="I40" s="634"/>
      <c r="J40" s="634"/>
      <c r="K40" s="635"/>
      <c r="L40" s="635"/>
      <c r="M40" s="634"/>
      <c r="N40" s="634"/>
      <c r="O40" s="634"/>
      <c r="P40" s="598">
        <f>P41</f>
        <v>205000000</v>
      </c>
      <c r="Q40" s="401" t="s">
        <v>468</v>
      </c>
      <c r="S40" s="36"/>
    </row>
    <row r="41" spans="1:19" s="37" customFormat="1" ht="17.100000000000001" customHeight="1">
      <c r="A41" s="133"/>
      <c r="B41" s="624" t="s">
        <v>46</v>
      </c>
      <c r="C41" s="235" t="s">
        <v>459</v>
      </c>
      <c r="D41" s="388">
        <f>D42</f>
        <v>205000</v>
      </c>
      <c r="E41" s="626">
        <f t="shared" si="4"/>
        <v>205000</v>
      </c>
      <c r="F41" s="627">
        <f t="shared" si="4"/>
        <v>56700</v>
      </c>
      <c r="G41" s="569">
        <f t="shared" si="3"/>
        <v>0</v>
      </c>
      <c r="H41" s="570">
        <f>+G41/D41*100</f>
        <v>0</v>
      </c>
      <c r="I41" s="636"/>
      <c r="J41" s="242"/>
      <c r="K41" s="243"/>
      <c r="L41" s="243"/>
      <c r="M41" s="242"/>
      <c r="N41" s="242"/>
      <c r="O41" s="242"/>
      <c r="P41" s="302">
        <f>SUM(P42)</f>
        <v>205000000</v>
      </c>
      <c r="Q41" s="102" t="s">
        <v>468</v>
      </c>
      <c r="S41" s="36"/>
    </row>
    <row r="42" spans="1:19" s="37" customFormat="1" ht="17.100000000000001" customHeight="1">
      <c r="A42" s="133"/>
      <c r="B42" s="384"/>
      <c r="C42" s="321" t="s">
        <v>68</v>
      </c>
      <c r="D42" s="135">
        <v>205000</v>
      </c>
      <c r="E42" s="573">
        <f>+P42/1000</f>
        <v>205000</v>
      </c>
      <c r="F42" s="586">
        <v>56700</v>
      </c>
      <c r="G42" s="575">
        <f t="shared" si="3"/>
        <v>0</v>
      </c>
      <c r="H42" s="637">
        <f>+G42/D42*100</f>
        <v>0</v>
      </c>
      <c r="I42" s="638"/>
      <c r="J42" s="100"/>
      <c r="K42" s="101"/>
      <c r="L42" s="101"/>
      <c r="M42" s="100" t="s">
        <v>473</v>
      </c>
      <c r="N42" s="100"/>
      <c r="O42" s="100"/>
      <c r="P42" s="189">
        <f>SUM(P43:P44)</f>
        <v>205000000</v>
      </c>
      <c r="Q42" s="125" t="s">
        <v>468</v>
      </c>
      <c r="S42" s="36"/>
    </row>
    <row r="43" spans="1:19" s="37" customFormat="1" ht="17.100000000000001" customHeight="1">
      <c r="A43" s="133"/>
      <c r="B43" s="384"/>
      <c r="C43" s="322"/>
      <c r="D43" s="140"/>
      <c r="E43" s="577"/>
      <c r="F43" s="589"/>
      <c r="G43" s="579"/>
      <c r="H43" s="639"/>
      <c r="I43" s="121" t="s">
        <v>545</v>
      </c>
      <c r="J43" s="99">
        <v>75000000</v>
      </c>
      <c r="K43" s="101" t="s">
        <v>468</v>
      </c>
      <c r="L43" s="122" t="s">
        <v>469</v>
      </c>
      <c r="M43" s="101">
        <v>1</v>
      </c>
      <c r="N43" s="101" t="s">
        <v>467</v>
      </c>
      <c r="O43" s="101" t="s">
        <v>460</v>
      </c>
      <c r="P43" s="99">
        <f>+M43*J43</f>
        <v>75000000</v>
      </c>
      <c r="Q43" s="125" t="s">
        <v>468</v>
      </c>
      <c r="S43" s="36"/>
    </row>
    <row r="44" spans="1:19" s="37" customFormat="1" ht="17.100000000000001" customHeight="1">
      <c r="A44" s="133"/>
      <c r="B44" s="384"/>
      <c r="C44" s="324"/>
      <c r="D44" s="146"/>
      <c r="E44" s="583"/>
      <c r="F44" s="640"/>
      <c r="G44" s="584"/>
      <c r="H44" s="641"/>
      <c r="I44" s="173" t="s">
        <v>146</v>
      </c>
      <c r="J44" s="99">
        <v>130000000</v>
      </c>
      <c r="K44" s="101" t="s">
        <v>468</v>
      </c>
      <c r="L44" s="122" t="s">
        <v>469</v>
      </c>
      <c r="M44" s="101">
        <v>1</v>
      </c>
      <c r="N44" s="101" t="s">
        <v>467</v>
      </c>
      <c r="O44" s="101" t="s">
        <v>460</v>
      </c>
      <c r="P44" s="99">
        <f>+M44*J44</f>
        <v>130000000</v>
      </c>
      <c r="Q44" s="125" t="s">
        <v>468</v>
      </c>
      <c r="S44" s="36"/>
    </row>
    <row r="45" spans="1:19" s="37" customFormat="1" ht="18.95" customHeight="1">
      <c r="A45" s="429" t="s">
        <v>495</v>
      </c>
      <c r="B45" s="430" t="s">
        <v>484</v>
      </c>
      <c r="C45" s="463"/>
      <c r="D45" s="593">
        <f>+D46+D65</f>
        <v>1410530</v>
      </c>
      <c r="E45" s="642">
        <f>+E46+E65</f>
        <v>1506396.4550000001</v>
      </c>
      <c r="F45" s="595">
        <f>+F46+F65</f>
        <v>1336159</v>
      </c>
      <c r="G45" s="596">
        <f>E45-D45</f>
        <v>95866.455000000075</v>
      </c>
      <c r="H45" s="597">
        <f>+G45/D45*100</f>
        <v>6.7964846547042654</v>
      </c>
      <c r="I45" s="643"/>
      <c r="J45" s="643"/>
      <c r="K45" s="644"/>
      <c r="L45" s="412"/>
      <c r="M45" s="643"/>
      <c r="N45" s="643"/>
      <c r="O45" s="643"/>
      <c r="P45" s="645">
        <f>SUM(P46,P65)</f>
        <v>1506396455</v>
      </c>
      <c r="Q45" s="646" t="s">
        <v>468</v>
      </c>
      <c r="S45" s="36"/>
    </row>
    <row r="46" spans="1:19" s="37" customFormat="1" ht="17.100000000000001" customHeight="1">
      <c r="A46" s="133"/>
      <c r="B46" s="91" t="s">
        <v>494</v>
      </c>
      <c r="C46" s="384" t="s">
        <v>459</v>
      </c>
      <c r="D46" s="408">
        <f>SUM(D47:D61)</f>
        <v>784970</v>
      </c>
      <c r="E46" s="647">
        <f>SUM(E47:E64)</f>
        <v>885436.45500000007</v>
      </c>
      <c r="F46" s="640">
        <f>SUM(F47:F61)</f>
        <v>711605</v>
      </c>
      <c r="G46" s="569">
        <f>E46-D46</f>
        <v>100466.45500000007</v>
      </c>
      <c r="H46" s="570">
        <f>+G46/D46*100</f>
        <v>12.798763647018365</v>
      </c>
      <c r="I46" s="198"/>
      <c r="J46" s="198"/>
      <c r="K46" s="648"/>
      <c r="L46" s="200"/>
      <c r="M46" s="198"/>
      <c r="N46" s="198"/>
      <c r="O46" s="198"/>
      <c r="P46" s="649">
        <f>SUM(P47,P49,P54,P60)</f>
        <v>885436455</v>
      </c>
      <c r="Q46" s="202" t="s">
        <v>468</v>
      </c>
      <c r="S46" s="36"/>
    </row>
    <row r="47" spans="1:19" s="37" customFormat="1" ht="17.100000000000001" customHeight="1">
      <c r="A47" s="133"/>
      <c r="B47" s="91" t="s">
        <v>495</v>
      </c>
      <c r="C47" s="353" t="s">
        <v>322</v>
      </c>
      <c r="D47" s="135">
        <v>357650</v>
      </c>
      <c r="E47" s="573">
        <f>P47/1000</f>
        <v>357650</v>
      </c>
      <c r="F47" s="586">
        <v>480000</v>
      </c>
      <c r="G47" s="587">
        <f>+E47-D47</f>
        <v>0</v>
      </c>
      <c r="H47" s="588">
        <f>+G47/D47*100</f>
        <v>0</v>
      </c>
      <c r="I47" s="403"/>
      <c r="J47" s="650"/>
      <c r="K47" s="651"/>
      <c r="L47" s="652"/>
      <c r="M47" s="652" t="s">
        <v>473</v>
      </c>
      <c r="N47" s="652"/>
      <c r="O47" s="652"/>
      <c r="P47" s="650">
        <f>SUM(P48:P48)</f>
        <v>357650000</v>
      </c>
      <c r="Q47" s="397" t="s">
        <v>468</v>
      </c>
      <c r="S47" s="36"/>
    </row>
    <row r="48" spans="1:19" s="37" customFormat="1" ht="17.100000000000001" customHeight="1">
      <c r="A48" s="133"/>
      <c r="B48" s="104"/>
      <c r="C48" s="322"/>
      <c r="D48" s="140"/>
      <c r="E48" s="577"/>
      <c r="F48" s="653"/>
      <c r="G48" s="590"/>
      <c r="H48" s="591"/>
      <c r="I48" s="654" t="s">
        <v>64</v>
      </c>
      <c r="J48" s="655">
        <v>178825000</v>
      </c>
      <c r="K48" s="200" t="s">
        <v>468</v>
      </c>
      <c r="L48" s="199" t="s">
        <v>469</v>
      </c>
      <c r="M48" s="200">
        <v>2</v>
      </c>
      <c r="N48" s="200" t="s">
        <v>467</v>
      </c>
      <c r="O48" s="201" t="s">
        <v>460</v>
      </c>
      <c r="P48" s="290">
        <f>SUM(J48*M48)</f>
        <v>357650000</v>
      </c>
      <c r="Q48" s="202" t="s">
        <v>468</v>
      </c>
      <c r="S48" s="36"/>
    </row>
    <row r="49" spans="1:21" s="37" customFormat="1" ht="17.100000000000001" customHeight="1">
      <c r="A49" s="133"/>
      <c r="B49" s="104"/>
      <c r="C49" s="353" t="s">
        <v>365</v>
      </c>
      <c r="D49" s="135">
        <v>51320</v>
      </c>
      <c r="E49" s="573">
        <f>P49/1000</f>
        <v>51320</v>
      </c>
      <c r="F49" s="586">
        <v>79390</v>
      </c>
      <c r="G49" s="587">
        <f>+E49-D49</f>
        <v>0</v>
      </c>
      <c r="H49" s="588">
        <f>+G49/D49*100</f>
        <v>0</v>
      </c>
      <c r="I49" s="656"/>
      <c r="J49" s="111"/>
      <c r="K49" s="113"/>
      <c r="L49" s="113"/>
      <c r="M49" s="138" t="s">
        <v>473</v>
      </c>
      <c r="N49" s="138"/>
      <c r="O49" s="138"/>
      <c r="P49" s="111">
        <f>SUM(P50:P53)</f>
        <v>51320000</v>
      </c>
      <c r="Q49" s="114" t="s">
        <v>468</v>
      </c>
      <c r="S49" s="36"/>
    </row>
    <row r="50" spans="1:21" s="37" customFormat="1" ht="17.100000000000001" customHeight="1">
      <c r="A50" s="133"/>
      <c r="B50" s="104"/>
      <c r="C50" s="322"/>
      <c r="D50" s="140"/>
      <c r="E50" s="577"/>
      <c r="F50" s="589"/>
      <c r="G50" s="590"/>
      <c r="H50" s="591"/>
      <c r="I50" s="657" t="s">
        <v>371</v>
      </c>
      <c r="J50" s="658">
        <v>3500000</v>
      </c>
      <c r="K50" s="659" t="s">
        <v>468</v>
      </c>
      <c r="L50" s="660" t="s">
        <v>469</v>
      </c>
      <c r="M50" s="659">
        <v>12</v>
      </c>
      <c r="N50" s="659" t="s">
        <v>472</v>
      </c>
      <c r="O50" s="661" t="s">
        <v>460</v>
      </c>
      <c r="P50" s="658">
        <f>SUM(J50*M50)</f>
        <v>42000000</v>
      </c>
      <c r="Q50" s="662" t="s">
        <v>468</v>
      </c>
      <c r="R50" s="36"/>
      <c r="S50" s="663"/>
      <c r="T50" s="663"/>
    </row>
    <row r="51" spans="1:21" s="37" customFormat="1" ht="17.100000000000001" customHeight="1">
      <c r="A51" s="133"/>
      <c r="B51" s="104"/>
      <c r="C51" s="322"/>
      <c r="D51" s="140"/>
      <c r="E51" s="577"/>
      <c r="F51" s="640"/>
      <c r="G51" s="590"/>
      <c r="H51" s="591"/>
      <c r="I51" s="654" t="s">
        <v>283</v>
      </c>
      <c r="J51" s="290">
        <v>600000</v>
      </c>
      <c r="K51" s="200" t="s">
        <v>468</v>
      </c>
      <c r="L51" s="199" t="s">
        <v>469</v>
      </c>
      <c r="M51" s="200">
        <v>12</v>
      </c>
      <c r="N51" s="200" t="s">
        <v>472</v>
      </c>
      <c r="O51" s="201" t="s">
        <v>460</v>
      </c>
      <c r="P51" s="290">
        <f>SUM(J51*M51)</f>
        <v>7200000</v>
      </c>
      <c r="Q51" s="202" t="s">
        <v>468</v>
      </c>
      <c r="R51" s="36"/>
      <c r="S51" s="663"/>
      <c r="T51" s="663"/>
    </row>
    <row r="52" spans="1:21" s="37" customFormat="1" ht="17.100000000000001" customHeight="1">
      <c r="A52" s="133"/>
      <c r="B52" s="104"/>
      <c r="C52" s="322"/>
      <c r="D52" s="140"/>
      <c r="E52" s="577"/>
      <c r="F52" s="640"/>
      <c r="G52" s="590"/>
      <c r="H52" s="591"/>
      <c r="I52" s="654" t="s">
        <v>266</v>
      </c>
      <c r="J52" s="290">
        <v>1000000</v>
      </c>
      <c r="K52" s="200" t="s">
        <v>468</v>
      </c>
      <c r="L52" s="199" t="s">
        <v>469</v>
      </c>
      <c r="M52" s="200">
        <v>2</v>
      </c>
      <c r="N52" s="200" t="s">
        <v>467</v>
      </c>
      <c r="O52" s="201" t="s">
        <v>460</v>
      </c>
      <c r="P52" s="290">
        <f>SUM(J52*M52)</f>
        <v>2000000</v>
      </c>
      <c r="Q52" s="202" t="s">
        <v>468</v>
      </c>
      <c r="R52" s="664"/>
      <c r="S52" s="665"/>
      <c r="T52" s="665"/>
      <c r="U52" s="666"/>
    </row>
    <row r="53" spans="1:21" s="37" customFormat="1" ht="17.100000000000001" customHeight="1">
      <c r="A53" s="133"/>
      <c r="B53" s="104"/>
      <c r="C53" s="324"/>
      <c r="D53" s="146"/>
      <c r="E53" s="583"/>
      <c r="F53" s="667"/>
      <c r="G53" s="668"/>
      <c r="H53" s="669"/>
      <c r="I53" s="670" t="s">
        <v>256</v>
      </c>
      <c r="J53" s="284">
        <v>10000</v>
      </c>
      <c r="K53" s="287" t="s">
        <v>468</v>
      </c>
      <c r="L53" s="286" t="s">
        <v>469</v>
      </c>
      <c r="M53" s="287">
        <v>12</v>
      </c>
      <c r="N53" s="287" t="s">
        <v>467</v>
      </c>
      <c r="O53" s="288" t="s">
        <v>460</v>
      </c>
      <c r="P53" s="284">
        <f>SUM(J53*M53)</f>
        <v>120000</v>
      </c>
      <c r="Q53" s="289" t="s">
        <v>468</v>
      </c>
      <c r="R53" s="664"/>
      <c r="S53" s="665"/>
      <c r="T53" s="666"/>
      <c r="U53" s="666"/>
    </row>
    <row r="54" spans="1:21" s="37" customFormat="1" ht="17.100000000000001" customHeight="1">
      <c r="A54" s="133"/>
      <c r="B54" s="104"/>
      <c r="C54" s="321" t="s">
        <v>44</v>
      </c>
      <c r="D54" s="135">
        <v>167000</v>
      </c>
      <c r="E54" s="573">
        <f>+P54/1000</f>
        <v>266466.45500000002</v>
      </c>
      <c r="F54" s="586">
        <v>90435</v>
      </c>
      <c r="G54" s="587">
        <f>+E54-D54</f>
        <v>99466.455000000016</v>
      </c>
      <c r="H54" s="588">
        <f>+G54/D54*100</f>
        <v>59.560751497005995</v>
      </c>
      <c r="I54" s="403"/>
      <c r="J54" s="394"/>
      <c r="K54" s="652"/>
      <c r="L54" s="652"/>
      <c r="M54" s="291" t="s">
        <v>473</v>
      </c>
      <c r="N54" s="291"/>
      <c r="O54" s="291"/>
      <c r="P54" s="394">
        <f>SUM(P55:P59)</f>
        <v>266466455</v>
      </c>
      <c r="Q54" s="397" t="s">
        <v>468</v>
      </c>
      <c r="R54" s="666"/>
      <c r="S54" s="665"/>
      <c r="T54" s="666"/>
      <c r="U54" s="666"/>
    </row>
    <row r="55" spans="1:21" s="37" customFormat="1" ht="17.100000000000001" customHeight="1">
      <c r="A55" s="133"/>
      <c r="B55" s="104"/>
      <c r="C55" s="322"/>
      <c r="D55" s="140"/>
      <c r="E55" s="577"/>
      <c r="F55" s="589"/>
      <c r="G55" s="590"/>
      <c r="H55" s="591"/>
      <c r="I55" s="654" t="s">
        <v>288</v>
      </c>
      <c r="J55" s="290">
        <v>14000000</v>
      </c>
      <c r="K55" s="200" t="s">
        <v>468</v>
      </c>
      <c r="L55" s="199" t="s">
        <v>469</v>
      </c>
      <c r="M55" s="200">
        <v>12</v>
      </c>
      <c r="N55" s="200" t="s">
        <v>472</v>
      </c>
      <c r="O55" s="201" t="s">
        <v>460</v>
      </c>
      <c r="P55" s="290">
        <f>SUM(J55*M55)</f>
        <v>168000000</v>
      </c>
      <c r="Q55" s="202" t="s">
        <v>468</v>
      </c>
      <c r="R55" s="665"/>
      <c r="S55" s="665"/>
      <c r="T55" s="666"/>
      <c r="U55" s="666"/>
    </row>
    <row r="56" spans="1:21" s="37" customFormat="1" ht="17.100000000000001" customHeight="1">
      <c r="A56" s="133"/>
      <c r="B56" s="104"/>
      <c r="C56" s="322"/>
      <c r="D56" s="140"/>
      <c r="E56" s="577"/>
      <c r="F56" s="640"/>
      <c r="G56" s="590"/>
      <c r="H56" s="591"/>
      <c r="I56" s="654" t="s">
        <v>231</v>
      </c>
      <c r="J56" s="290">
        <v>13500000</v>
      </c>
      <c r="K56" s="200" t="s">
        <v>468</v>
      </c>
      <c r="L56" s="199" t="s">
        <v>469</v>
      </c>
      <c r="M56" s="200">
        <v>2</v>
      </c>
      <c r="N56" s="200" t="s">
        <v>467</v>
      </c>
      <c r="O56" s="201" t="s">
        <v>516</v>
      </c>
      <c r="P56" s="290">
        <f>SUM(J56*M56)</f>
        <v>27000000</v>
      </c>
      <c r="Q56" s="202" t="s">
        <v>468</v>
      </c>
      <c r="R56" s="671"/>
      <c r="S56" s="672"/>
      <c r="T56" s="672"/>
      <c r="U56" s="672"/>
    </row>
    <row r="57" spans="1:21" s="37" customFormat="1" ht="17.100000000000001" customHeight="1">
      <c r="A57" s="133"/>
      <c r="B57" s="104"/>
      <c r="C57" s="322"/>
      <c r="D57" s="140"/>
      <c r="E57" s="577"/>
      <c r="F57" s="640"/>
      <c r="G57" s="590"/>
      <c r="H57" s="591"/>
      <c r="I57" s="654" t="s">
        <v>376</v>
      </c>
      <c r="J57" s="290">
        <v>0</v>
      </c>
      <c r="K57" s="200" t="s">
        <v>468</v>
      </c>
      <c r="L57" s="199" t="s">
        <v>469</v>
      </c>
      <c r="M57" s="200">
        <v>1</v>
      </c>
      <c r="N57" s="200" t="s">
        <v>467</v>
      </c>
      <c r="O57" s="201" t="s">
        <v>516</v>
      </c>
      <c r="P57" s="290">
        <f>SUM(J57*M57)</f>
        <v>0</v>
      </c>
      <c r="Q57" s="202" t="s">
        <v>468</v>
      </c>
      <c r="R57" s="196"/>
      <c r="S57" s="673"/>
      <c r="T57" s="673"/>
      <c r="U57" s="673"/>
    </row>
    <row r="58" spans="1:21" s="37" customFormat="1" ht="17.100000000000001" customHeight="1">
      <c r="A58" s="133"/>
      <c r="B58" s="104"/>
      <c r="C58" s="322"/>
      <c r="D58" s="140"/>
      <c r="E58" s="577"/>
      <c r="F58" s="640"/>
      <c r="G58" s="590"/>
      <c r="H58" s="591"/>
      <c r="I58" s="654" t="s">
        <v>319</v>
      </c>
      <c r="J58" s="290">
        <v>50000000</v>
      </c>
      <c r="K58" s="200" t="s">
        <v>468</v>
      </c>
      <c r="L58" s="199" t="s">
        <v>469</v>
      </c>
      <c r="M58" s="200">
        <v>1</v>
      </c>
      <c r="N58" s="200" t="s">
        <v>467</v>
      </c>
      <c r="O58" s="201" t="s">
        <v>516</v>
      </c>
      <c r="P58" s="290">
        <f>SUM(J58*M58)</f>
        <v>50000000</v>
      </c>
      <c r="Q58" s="202" t="s">
        <v>468</v>
      </c>
      <c r="R58" s="196"/>
      <c r="S58" s="673"/>
      <c r="T58" s="673"/>
      <c r="U58" s="673"/>
    </row>
    <row r="59" spans="1:21" s="37" customFormat="1" ht="17.100000000000001" customHeight="1">
      <c r="A59" s="133"/>
      <c r="B59" s="104"/>
      <c r="C59" s="324"/>
      <c r="D59" s="146"/>
      <c r="E59" s="583"/>
      <c r="F59" s="667"/>
      <c r="G59" s="668"/>
      <c r="H59" s="669"/>
      <c r="I59" s="670" t="s">
        <v>247</v>
      </c>
      <c r="J59" s="284">
        <v>21466455</v>
      </c>
      <c r="K59" s="200" t="s">
        <v>468</v>
      </c>
      <c r="L59" s="199" t="s">
        <v>469</v>
      </c>
      <c r="M59" s="200">
        <v>1</v>
      </c>
      <c r="N59" s="200" t="s">
        <v>467</v>
      </c>
      <c r="O59" s="201" t="s">
        <v>516</v>
      </c>
      <c r="P59" s="290">
        <f>SUM(J59*M59)</f>
        <v>21466455</v>
      </c>
      <c r="Q59" s="202" t="s">
        <v>468</v>
      </c>
      <c r="R59" s="196"/>
      <c r="S59" s="673"/>
      <c r="T59" s="673"/>
      <c r="U59" s="673"/>
    </row>
    <row r="60" spans="1:21" s="37" customFormat="1" ht="17.100000000000001" customHeight="1">
      <c r="A60" s="76"/>
      <c r="B60" s="91"/>
      <c r="C60" s="321" t="s">
        <v>82</v>
      </c>
      <c r="D60" s="135">
        <v>209000</v>
      </c>
      <c r="E60" s="674">
        <f>(P60/1000)</f>
        <v>210000</v>
      </c>
      <c r="F60" s="675">
        <v>61780</v>
      </c>
      <c r="G60" s="587">
        <f>+E60-D60</f>
        <v>1000</v>
      </c>
      <c r="H60" s="588">
        <f>G60/D60*100</f>
        <v>0.4784688995215311</v>
      </c>
      <c r="I60" s="676"/>
      <c r="J60" s="650"/>
      <c r="K60" s="652"/>
      <c r="L60" s="652"/>
      <c r="M60" s="291" t="s">
        <v>473</v>
      </c>
      <c r="N60" s="291"/>
      <c r="O60" s="291"/>
      <c r="P60" s="650">
        <f>SUM(P61:P64)</f>
        <v>210000000</v>
      </c>
      <c r="Q60" s="397" t="s">
        <v>468</v>
      </c>
      <c r="R60" s="666"/>
      <c r="S60" s="664"/>
      <c r="T60" s="666"/>
      <c r="U60" s="666"/>
    </row>
    <row r="61" spans="1:21" s="37" customFormat="1" ht="17.100000000000001" customHeight="1">
      <c r="A61" s="76"/>
      <c r="B61" s="91"/>
      <c r="C61" s="322"/>
      <c r="D61" s="140"/>
      <c r="E61" s="677"/>
      <c r="F61" s="640"/>
      <c r="G61" s="590"/>
      <c r="H61" s="591"/>
      <c r="I61" s="654" t="s">
        <v>543</v>
      </c>
      <c r="J61" s="290">
        <v>100000000</v>
      </c>
      <c r="K61" s="200" t="s">
        <v>468</v>
      </c>
      <c r="L61" s="199" t="s">
        <v>469</v>
      </c>
      <c r="M61" s="200">
        <v>1</v>
      </c>
      <c r="N61" s="200" t="s">
        <v>467</v>
      </c>
      <c r="O61" s="201" t="s">
        <v>460</v>
      </c>
      <c r="P61" s="290">
        <f>SUM(J61*M61)</f>
        <v>100000000</v>
      </c>
      <c r="Q61" s="202" t="s">
        <v>468</v>
      </c>
      <c r="S61" s="663"/>
    </row>
    <row r="62" spans="1:21" s="37" customFormat="1" ht="17.100000000000001" customHeight="1">
      <c r="A62" s="76"/>
      <c r="B62" s="91"/>
      <c r="C62" s="322"/>
      <c r="D62" s="140"/>
      <c r="E62" s="677"/>
      <c r="F62" s="640"/>
      <c r="G62" s="590"/>
      <c r="H62" s="591"/>
      <c r="I62" s="654" t="s">
        <v>315</v>
      </c>
      <c r="J62" s="290">
        <v>10000000</v>
      </c>
      <c r="K62" s="200" t="s">
        <v>468</v>
      </c>
      <c r="L62" s="199" t="s">
        <v>469</v>
      </c>
      <c r="M62" s="200">
        <v>1</v>
      </c>
      <c r="N62" s="200" t="s">
        <v>467</v>
      </c>
      <c r="O62" s="201" t="s">
        <v>460</v>
      </c>
      <c r="P62" s="290">
        <f>SUM(J62*M62)</f>
        <v>10000000</v>
      </c>
      <c r="Q62" s="202" t="s">
        <v>468</v>
      </c>
      <c r="S62" s="663"/>
    </row>
    <row r="63" spans="1:21" s="37" customFormat="1" ht="17.100000000000001" customHeight="1">
      <c r="A63" s="133"/>
      <c r="B63" s="104"/>
      <c r="C63" s="322"/>
      <c r="D63" s="140"/>
      <c r="E63" s="677"/>
      <c r="F63" s="640"/>
      <c r="G63" s="590"/>
      <c r="H63" s="591"/>
      <c r="I63" s="606" t="s">
        <v>398</v>
      </c>
      <c r="J63" s="290">
        <v>20000000</v>
      </c>
      <c r="K63" s="200" t="s">
        <v>468</v>
      </c>
      <c r="L63" s="199" t="s">
        <v>469</v>
      </c>
      <c r="M63" s="200">
        <v>3</v>
      </c>
      <c r="N63" s="200" t="s">
        <v>467</v>
      </c>
      <c r="O63" s="201" t="s">
        <v>460</v>
      </c>
      <c r="P63" s="290">
        <f>SUM(J63*M63)</f>
        <v>60000000</v>
      </c>
      <c r="Q63" s="202" t="s">
        <v>468</v>
      </c>
      <c r="R63" s="37" t="s">
        <v>0</v>
      </c>
      <c r="S63" s="663"/>
    </row>
    <row r="64" spans="1:21" s="37" customFormat="1" ht="17.100000000000001" customHeight="1">
      <c r="A64" s="133"/>
      <c r="B64" s="166"/>
      <c r="C64" s="324"/>
      <c r="D64" s="146"/>
      <c r="E64" s="678"/>
      <c r="F64" s="667"/>
      <c r="G64" s="668"/>
      <c r="H64" s="669"/>
      <c r="I64" s="679" t="s">
        <v>249</v>
      </c>
      <c r="J64" s="284">
        <v>10000000</v>
      </c>
      <c r="K64" s="287" t="s">
        <v>468</v>
      </c>
      <c r="L64" s="286" t="s">
        <v>469</v>
      </c>
      <c r="M64" s="287">
        <v>4</v>
      </c>
      <c r="N64" s="287" t="s">
        <v>467</v>
      </c>
      <c r="O64" s="288" t="s">
        <v>460</v>
      </c>
      <c r="P64" s="284">
        <f>SUM(J64*M64)</f>
        <v>40000000</v>
      </c>
      <c r="Q64" s="289" t="s">
        <v>468</v>
      </c>
      <c r="S64" s="663"/>
    </row>
    <row r="65" spans="1:23" ht="17.100000000000001" customHeight="1">
      <c r="A65" s="76" t="s">
        <v>495</v>
      </c>
      <c r="B65" s="178" t="s">
        <v>500</v>
      </c>
      <c r="C65" s="372" t="s">
        <v>459</v>
      </c>
      <c r="D65" s="374">
        <f>SUM(D66:D77)</f>
        <v>625560</v>
      </c>
      <c r="E65" s="680">
        <f>SUM(E66:E77)</f>
        <v>620960</v>
      </c>
      <c r="F65" s="675">
        <f>SUM(F66:F77)</f>
        <v>624554</v>
      </c>
      <c r="G65" s="569">
        <f>+E65-D65</f>
        <v>-4600</v>
      </c>
      <c r="H65" s="570">
        <f>+G65/D65*100</f>
        <v>-0.73534113434362813</v>
      </c>
      <c r="I65" s="112"/>
      <c r="J65" s="112"/>
      <c r="K65" s="113"/>
      <c r="L65" s="113"/>
      <c r="M65" s="112"/>
      <c r="N65" s="112"/>
      <c r="O65" s="112"/>
      <c r="P65" s="185">
        <f>SUM(P66,P70)</f>
        <v>620960000</v>
      </c>
      <c r="Q65" s="114" t="s">
        <v>468</v>
      </c>
      <c r="S65" s="663"/>
      <c r="T65" s="37"/>
      <c r="U65" s="37"/>
      <c r="V65" s="37"/>
      <c r="W65" s="37"/>
    </row>
    <row r="66" spans="1:23" ht="17.100000000000001" customHeight="1">
      <c r="A66" s="133"/>
      <c r="B66" s="91" t="s">
        <v>495</v>
      </c>
      <c r="C66" s="681" t="s">
        <v>51</v>
      </c>
      <c r="D66" s="135">
        <v>64000</v>
      </c>
      <c r="E66" s="682">
        <f>+P66/1000</f>
        <v>54400</v>
      </c>
      <c r="F66" s="586">
        <v>72575</v>
      </c>
      <c r="G66" s="587">
        <f>+E66-D66</f>
        <v>-9600</v>
      </c>
      <c r="H66" s="637">
        <f>G66/D66*100</f>
        <v>-15</v>
      </c>
      <c r="I66" s="403"/>
      <c r="J66" s="394"/>
      <c r="K66" s="652"/>
      <c r="L66" s="652"/>
      <c r="M66" s="291" t="s">
        <v>473</v>
      </c>
      <c r="N66" s="291"/>
      <c r="O66" s="291"/>
      <c r="P66" s="394">
        <f>SUM(P67:P69)</f>
        <v>54400000</v>
      </c>
      <c r="Q66" s="397" t="s">
        <v>468</v>
      </c>
      <c r="S66" s="663"/>
      <c r="T66" s="37"/>
      <c r="U66" s="37"/>
      <c r="V66" s="37"/>
      <c r="W66" s="37"/>
    </row>
    <row r="67" spans="1:23" ht="17.100000000000001" customHeight="1">
      <c r="A67" s="133"/>
      <c r="B67" s="104"/>
      <c r="C67" s="681"/>
      <c r="D67" s="140"/>
      <c r="E67" s="683"/>
      <c r="F67" s="589"/>
      <c r="G67" s="590">
        <f>+D67-E67</f>
        <v>0</v>
      </c>
      <c r="H67" s="639"/>
      <c r="I67" s="654" t="s">
        <v>426</v>
      </c>
      <c r="J67" s="290">
        <v>1200000</v>
      </c>
      <c r="K67" s="200" t="s">
        <v>468</v>
      </c>
      <c r="L67" s="199" t="s">
        <v>469</v>
      </c>
      <c r="M67" s="200">
        <v>12</v>
      </c>
      <c r="N67" s="200" t="s">
        <v>472</v>
      </c>
      <c r="O67" s="201" t="s">
        <v>460</v>
      </c>
      <c r="P67" s="290">
        <f>J67*M67</f>
        <v>14400000</v>
      </c>
      <c r="Q67" s="202" t="s">
        <v>468</v>
      </c>
      <c r="S67" s="663"/>
      <c r="T67" s="37"/>
      <c r="U67" s="37"/>
      <c r="V67" s="37"/>
      <c r="W67" s="37"/>
    </row>
    <row r="68" spans="1:23" ht="17.100000000000001" customHeight="1">
      <c r="A68" s="133"/>
      <c r="B68" s="104"/>
      <c r="C68" s="681"/>
      <c r="D68" s="140"/>
      <c r="E68" s="683"/>
      <c r="F68" s="589"/>
      <c r="G68" s="590"/>
      <c r="H68" s="639"/>
      <c r="I68" s="654" t="s">
        <v>355</v>
      </c>
      <c r="J68" s="290">
        <v>100000</v>
      </c>
      <c r="K68" s="200" t="s">
        <v>468</v>
      </c>
      <c r="L68" s="199" t="s">
        <v>469</v>
      </c>
      <c r="M68" s="200">
        <v>250</v>
      </c>
      <c r="N68" s="200" t="s">
        <v>467</v>
      </c>
      <c r="O68" s="201" t="s">
        <v>460</v>
      </c>
      <c r="P68" s="290">
        <f>J68*M68</f>
        <v>25000000</v>
      </c>
      <c r="Q68" s="202" t="s">
        <v>468</v>
      </c>
      <c r="S68" s="663"/>
      <c r="T68" s="37"/>
      <c r="U68" s="37"/>
      <c r="V68" s="37"/>
      <c r="W68" s="37"/>
    </row>
    <row r="69" spans="1:23" ht="17.100000000000001" customHeight="1">
      <c r="A69" s="133"/>
      <c r="B69" s="104"/>
      <c r="C69" s="681"/>
      <c r="D69" s="140"/>
      <c r="E69" s="683"/>
      <c r="F69" s="589"/>
      <c r="G69" s="590"/>
      <c r="H69" s="641"/>
      <c r="I69" s="654" t="s">
        <v>192</v>
      </c>
      <c r="J69" s="290">
        <v>5000000</v>
      </c>
      <c r="K69" s="200" t="s">
        <v>468</v>
      </c>
      <c r="L69" s="199" t="s">
        <v>469</v>
      </c>
      <c r="M69" s="200">
        <v>3</v>
      </c>
      <c r="N69" s="200" t="s">
        <v>467</v>
      </c>
      <c r="O69" s="201" t="s">
        <v>460</v>
      </c>
      <c r="P69" s="290">
        <f>SUM(J69*M69)</f>
        <v>15000000</v>
      </c>
      <c r="Q69" s="202" t="s">
        <v>468</v>
      </c>
      <c r="S69" s="663"/>
      <c r="T69" s="37"/>
      <c r="U69" s="37"/>
      <c r="V69" s="37"/>
      <c r="W69" s="37"/>
    </row>
    <row r="70" spans="1:23" ht="17.100000000000001" customHeight="1">
      <c r="A70" s="133"/>
      <c r="B70" s="104"/>
      <c r="C70" s="684" t="s">
        <v>186</v>
      </c>
      <c r="D70" s="135">
        <v>561560</v>
      </c>
      <c r="E70" s="682">
        <f>+P70/1000</f>
        <v>566560</v>
      </c>
      <c r="F70" s="586">
        <v>551979</v>
      </c>
      <c r="G70" s="587">
        <f>+E70-D70</f>
        <v>5000</v>
      </c>
      <c r="H70" s="588">
        <f>+G70/D70*100</f>
        <v>0.8903768074649191</v>
      </c>
      <c r="I70" s="403"/>
      <c r="J70" s="394"/>
      <c r="K70" s="652"/>
      <c r="L70" s="652"/>
      <c r="M70" s="652" t="s">
        <v>473</v>
      </c>
      <c r="N70" s="652"/>
      <c r="O70" s="652"/>
      <c r="P70" s="394">
        <f>SUM(P71:P77)</f>
        <v>566560000</v>
      </c>
      <c r="Q70" s="397" t="s">
        <v>468</v>
      </c>
      <c r="S70" s="663"/>
      <c r="T70" s="663"/>
      <c r="U70" s="37"/>
      <c r="V70" s="37"/>
      <c r="W70" s="37"/>
    </row>
    <row r="71" spans="1:23" ht="17.100000000000001" customHeight="1">
      <c r="A71" s="133"/>
      <c r="B71" s="104"/>
      <c r="C71" s="681"/>
      <c r="D71" s="140"/>
      <c r="E71" s="683"/>
      <c r="F71" s="589"/>
      <c r="G71" s="590">
        <f>+D71-E71</f>
        <v>0</v>
      </c>
      <c r="H71" s="591" t="e">
        <f>+G71/D71*100</f>
        <v>#DIV/0!</v>
      </c>
      <c r="I71" s="654" t="s">
        <v>134</v>
      </c>
      <c r="J71" s="290">
        <v>20000000</v>
      </c>
      <c r="K71" s="200" t="s">
        <v>468</v>
      </c>
      <c r="L71" s="199" t="s">
        <v>469</v>
      </c>
      <c r="M71" s="200">
        <v>12</v>
      </c>
      <c r="N71" s="200" t="s">
        <v>472</v>
      </c>
      <c r="O71" s="201" t="s">
        <v>460</v>
      </c>
      <c r="P71" s="290">
        <f>J71*M71</f>
        <v>240000000</v>
      </c>
      <c r="Q71" s="202" t="s">
        <v>468</v>
      </c>
      <c r="S71" s="663"/>
      <c r="T71" s="37"/>
      <c r="U71" s="37"/>
      <c r="V71" s="37"/>
      <c r="W71" s="37"/>
    </row>
    <row r="72" spans="1:23" ht="17.100000000000001" customHeight="1">
      <c r="A72" s="133"/>
      <c r="B72" s="104"/>
      <c r="C72" s="380"/>
      <c r="D72" s="140"/>
      <c r="E72" s="683"/>
      <c r="F72" s="589"/>
      <c r="G72" s="590"/>
      <c r="H72" s="591" t="e">
        <f>+G72/D72*100</f>
        <v>#DIV/0!</v>
      </c>
      <c r="I72" s="654" t="s">
        <v>502</v>
      </c>
      <c r="J72" s="290">
        <v>22700000</v>
      </c>
      <c r="K72" s="200" t="s">
        <v>468</v>
      </c>
      <c r="L72" s="199" t="s">
        <v>469</v>
      </c>
      <c r="M72" s="200">
        <v>12</v>
      </c>
      <c r="N72" s="200" t="s">
        <v>472</v>
      </c>
      <c r="O72" s="201" t="s">
        <v>460</v>
      </c>
      <c r="P72" s="290">
        <f>SUM(J72*M72)</f>
        <v>272400000</v>
      </c>
      <c r="Q72" s="202" t="s">
        <v>468</v>
      </c>
      <c r="S72" s="663"/>
      <c r="T72" s="37"/>
      <c r="U72" s="37"/>
      <c r="V72" s="37"/>
      <c r="W72" s="37"/>
    </row>
    <row r="73" spans="1:23" ht="17.100000000000001" customHeight="1">
      <c r="A73" s="133"/>
      <c r="B73" s="104"/>
      <c r="C73" s="380"/>
      <c r="D73" s="140"/>
      <c r="E73" s="683"/>
      <c r="F73" s="589"/>
      <c r="G73" s="590"/>
      <c r="H73" s="591"/>
      <c r="I73" s="198" t="s">
        <v>320</v>
      </c>
      <c r="J73" s="290">
        <v>14000000</v>
      </c>
      <c r="K73" s="200" t="s">
        <v>468</v>
      </c>
      <c r="L73" s="199" t="s">
        <v>469</v>
      </c>
      <c r="M73" s="200">
        <v>1</v>
      </c>
      <c r="N73" s="200" t="s">
        <v>467</v>
      </c>
      <c r="O73" s="201" t="s">
        <v>460</v>
      </c>
      <c r="P73" s="290">
        <f>SUM(J73*M73)</f>
        <v>14000000</v>
      </c>
      <c r="Q73" s="202" t="s">
        <v>468</v>
      </c>
      <c r="S73" s="663"/>
      <c r="T73" s="37"/>
      <c r="U73" s="37"/>
      <c r="V73" s="37"/>
      <c r="W73" s="37"/>
    </row>
    <row r="74" spans="1:23" ht="17.100000000000001" customHeight="1">
      <c r="A74" s="133"/>
      <c r="B74" s="104"/>
      <c r="C74" s="380"/>
      <c r="D74" s="140"/>
      <c r="E74" s="683"/>
      <c r="F74" s="589"/>
      <c r="G74" s="590"/>
      <c r="H74" s="591"/>
      <c r="I74" s="198" t="s">
        <v>327</v>
      </c>
      <c r="J74" s="290">
        <v>10000000</v>
      </c>
      <c r="K74" s="200" t="s">
        <v>468</v>
      </c>
      <c r="L74" s="199" t="s">
        <v>469</v>
      </c>
      <c r="M74" s="200">
        <v>2</v>
      </c>
      <c r="N74" s="200" t="s">
        <v>467</v>
      </c>
      <c r="O74" s="201" t="s">
        <v>460</v>
      </c>
      <c r="P74" s="290">
        <f>SUM(J74*M74)</f>
        <v>20000000</v>
      </c>
      <c r="Q74" s="202" t="s">
        <v>468</v>
      </c>
      <c r="S74" s="663"/>
      <c r="T74" s="37"/>
      <c r="U74" s="37"/>
      <c r="V74" s="37"/>
      <c r="W74" s="37"/>
    </row>
    <row r="75" spans="1:23" ht="17.100000000000001" customHeight="1">
      <c r="A75" s="133"/>
      <c r="B75" s="104"/>
      <c r="C75" s="380"/>
      <c r="D75" s="140"/>
      <c r="E75" s="683"/>
      <c r="F75" s="589"/>
      <c r="G75" s="590"/>
      <c r="H75" s="591"/>
      <c r="I75" s="654" t="s">
        <v>76</v>
      </c>
      <c r="J75" s="290">
        <v>1300000</v>
      </c>
      <c r="K75" s="200" t="s">
        <v>468</v>
      </c>
      <c r="L75" s="199" t="s">
        <v>469</v>
      </c>
      <c r="M75" s="200">
        <v>12</v>
      </c>
      <c r="N75" s="200" t="s">
        <v>467</v>
      </c>
      <c r="O75" s="201" t="s">
        <v>460</v>
      </c>
      <c r="P75" s="290">
        <f>SUM(J75*M75)</f>
        <v>15600000</v>
      </c>
      <c r="Q75" s="354" t="s">
        <v>468</v>
      </c>
      <c r="S75" s="663"/>
      <c r="T75" s="37"/>
      <c r="U75" s="37"/>
      <c r="V75" s="37"/>
      <c r="W75" s="37"/>
    </row>
    <row r="76" spans="1:23" ht="17.100000000000001" customHeight="1">
      <c r="A76" s="133"/>
      <c r="B76" s="104"/>
      <c r="C76" s="380"/>
      <c r="D76" s="140"/>
      <c r="E76" s="683"/>
      <c r="F76" s="589"/>
      <c r="G76" s="590"/>
      <c r="H76" s="591" t="e">
        <f>+G76/D76*100</f>
        <v>#DIV/0!</v>
      </c>
      <c r="I76" s="654" t="s">
        <v>150</v>
      </c>
      <c r="J76" s="290">
        <v>350000</v>
      </c>
      <c r="K76" s="200" t="s">
        <v>468</v>
      </c>
      <c r="L76" s="199" t="s">
        <v>469</v>
      </c>
      <c r="M76" s="200">
        <v>12</v>
      </c>
      <c r="N76" s="200" t="s">
        <v>467</v>
      </c>
      <c r="O76" s="201" t="s">
        <v>460</v>
      </c>
      <c r="P76" s="290">
        <f>SUM(J76*M76)</f>
        <v>4200000</v>
      </c>
      <c r="Q76" s="354" t="s">
        <v>468</v>
      </c>
      <c r="S76" s="663"/>
      <c r="T76" s="37"/>
      <c r="U76" s="37"/>
      <c r="V76" s="37"/>
      <c r="W76" s="37"/>
    </row>
    <row r="77" spans="1:23" ht="17.100000000000001" customHeight="1">
      <c r="A77" s="133"/>
      <c r="B77" s="104"/>
      <c r="C77" s="380"/>
      <c r="D77" s="140"/>
      <c r="E77" s="683"/>
      <c r="F77" s="589"/>
      <c r="G77" s="590"/>
      <c r="H77" s="591"/>
      <c r="I77" s="654" t="s">
        <v>294</v>
      </c>
      <c r="J77" s="290">
        <v>30000</v>
      </c>
      <c r="K77" s="200" t="s">
        <v>468</v>
      </c>
      <c r="L77" s="199" t="s">
        <v>469</v>
      </c>
      <c r="M77" s="200">
        <v>12</v>
      </c>
      <c r="N77" s="200" t="s">
        <v>467</v>
      </c>
      <c r="O77" s="201" t="s">
        <v>460</v>
      </c>
      <c r="P77" s="290">
        <f>J77*M77</f>
        <v>360000</v>
      </c>
      <c r="Q77" s="202" t="s">
        <v>468</v>
      </c>
      <c r="S77" s="663"/>
      <c r="T77" s="37"/>
      <c r="U77" s="37"/>
      <c r="V77" s="37"/>
      <c r="W77" s="37"/>
    </row>
    <row r="78" spans="1:23" ht="18.95" customHeight="1">
      <c r="A78" s="429" t="s">
        <v>479</v>
      </c>
      <c r="B78" s="592" t="s">
        <v>484</v>
      </c>
      <c r="C78" s="430"/>
      <c r="D78" s="593">
        <f>SUM(D79)</f>
        <v>2315801</v>
      </c>
      <c r="E78" s="594">
        <f>SUM(E79)</f>
        <v>2184809.784</v>
      </c>
      <c r="F78" s="617">
        <f>SUM(F79)</f>
        <v>2029689</v>
      </c>
      <c r="G78" s="596">
        <f>+E78-D78</f>
        <v>-130991.21600000001</v>
      </c>
      <c r="H78" s="597">
        <f>+G78/D78*100</f>
        <v>-5.6564107192284663</v>
      </c>
      <c r="I78" s="242"/>
      <c r="J78" s="242"/>
      <c r="K78" s="243"/>
      <c r="L78" s="243"/>
      <c r="M78" s="242"/>
      <c r="N78" s="242"/>
      <c r="O78" s="242"/>
      <c r="P78" s="598">
        <f>P79</f>
        <v>2184809784</v>
      </c>
      <c r="Q78" s="401" t="s">
        <v>468</v>
      </c>
      <c r="S78" s="663"/>
      <c r="T78" s="37"/>
      <c r="U78" s="37"/>
      <c r="V78" s="37"/>
      <c r="W78" s="37"/>
    </row>
    <row r="79" spans="1:23" ht="17.100000000000001" customHeight="1">
      <c r="A79" s="133"/>
      <c r="B79" s="91" t="s">
        <v>479</v>
      </c>
      <c r="C79" s="235" t="s">
        <v>459</v>
      </c>
      <c r="D79" s="388">
        <f>SUM(D80:D91)</f>
        <v>2315801</v>
      </c>
      <c r="E79" s="685">
        <f>P79/1000</f>
        <v>2184809.784</v>
      </c>
      <c r="F79" s="686">
        <f>SUM(F80:F91)</f>
        <v>2029689</v>
      </c>
      <c r="G79" s="569">
        <f>+E79-D79</f>
        <v>-130991.21600000001</v>
      </c>
      <c r="H79" s="570">
        <f>+G79/D79*100</f>
        <v>-5.6564107192284663</v>
      </c>
      <c r="I79" s="100"/>
      <c r="J79" s="100"/>
      <c r="K79" s="101"/>
      <c r="L79" s="101"/>
      <c r="M79" s="100"/>
      <c r="N79" s="100"/>
      <c r="O79" s="100"/>
      <c r="P79" s="189">
        <f>SUM(P80,P93,P96,P99)</f>
        <v>2184809784</v>
      </c>
      <c r="Q79" s="125" t="s">
        <v>468</v>
      </c>
      <c r="S79" s="663"/>
      <c r="T79" s="37"/>
      <c r="U79" s="37"/>
      <c r="V79" s="37"/>
      <c r="W79" s="37"/>
    </row>
    <row r="80" spans="1:23" ht="17.100000000000001" customHeight="1">
      <c r="A80" s="133"/>
      <c r="B80" s="104"/>
      <c r="C80" s="321" t="s">
        <v>215</v>
      </c>
      <c r="D80" s="135">
        <v>1080056</v>
      </c>
      <c r="E80" s="573">
        <f>+P80/1000</f>
        <v>1080056</v>
      </c>
      <c r="F80" s="586">
        <v>875385</v>
      </c>
      <c r="G80" s="587">
        <f>+E80-D80</f>
        <v>0</v>
      </c>
      <c r="H80" s="588">
        <f>+G80/D80*100</f>
        <v>0</v>
      </c>
      <c r="I80" s="110"/>
      <c r="J80" s="111"/>
      <c r="K80" s="113"/>
      <c r="L80" s="113"/>
      <c r="M80" s="138" t="s">
        <v>473</v>
      </c>
      <c r="N80" s="138"/>
      <c r="O80" s="138"/>
      <c r="P80" s="111">
        <f>SUM(P81:P82)</f>
        <v>1080056000</v>
      </c>
      <c r="Q80" s="114" t="s">
        <v>468</v>
      </c>
      <c r="S80" s="687"/>
    </row>
    <row r="81" spans="1:20" ht="17.100000000000001" customHeight="1">
      <c r="A81" s="133"/>
      <c r="B81" s="104"/>
      <c r="C81" s="322"/>
      <c r="D81" s="140"/>
      <c r="E81" s="577"/>
      <c r="F81" s="589"/>
      <c r="G81" s="590">
        <f>+E81-D81</f>
        <v>0</v>
      </c>
      <c r="H81" s="591"/>
      <c r="I81" s="121" t="s">
        <v>287</v>
      </c>
      <c r="J81" s="99">
        <v>13338000</v>
      </c>
      <c r="K81" s="101" t="s">
        <v>468</v>
      </c>
      <c r="L81" s="122" t="s">
        <v>469</v>
      </c>
      <c r="M81" s="101">
        <v>12</v>
      </c>
      <c r="N81" s="101" t="s">
        <v>472</v>
      </c>
      <c r="O81" s="123" t="s">
        <v>460</v>
      </c>
      <c r="P81" s="99">
        <f>J81*M81</f>
        <v>160056000</v>
      </c>
      <c r="Q81" s="125" t="s">
        <v>468</v>
      </c>
    </row>
    <row r="82" spans="1:20" ht="17.100000000000001" customHeight="1">
      <c r="A82" s="133"/>
      <c r="B82" s="104"/>
      <c r="C82" s="324"/>
      <c r="D82" s="146"/>
      <c r="E82" s="583"/>
      <c r="F82" s="653"/>
      <c r="G82" s="668">
        <f>+E82-D82</f>
        <v>0</v>
      </c>
      <c r="H82" s="669"/>
      <c r="I82" s="688" t="s">
        <v>359</v>
      </c>
      <c r="J82" s="159">
        <v>920000000</v>
      </c>
      <c r="K82" s="163" t="s">
        <v>468</v>
      </c>
      <c r="L82" s="161" t="s">
        <v>469</v>
      </c>
      <c r="M82" s="163">
        <v>1</v>
      </c>
      <c r="N82" s="163" t="s">
        <v>467</v>
      </c>
      <c r="O82" s="167" t="s">
        <v>460</v>
      </c>
      <c r="P82" s="159">
        <f>SUM(J82*M82)</f>
        <v>920000000</v>
      </c>
      <c r="Q82" s="164" t="s">
        <v>468</v>
      </c>
    </row>
    <row r="83" spans="1:20" ht="17.100000000000001" customHeight="1">
      <c r="A83" s="133"/>
      <c r="B83" s="384"/>
      <c r="C83" s="321" t="s">
        <v>512</v>
      </c>
      <c r="D83" s="135">
        <v>164654</v>
      </c>
      <c r="E83" s="682">
        <f>+P83/1000</f>
        <v>0</v>
      </c>
      <c r="F83" s="586">
        <v>593059</v>
      </c>
      <c r="G83" s="587">
        <f>E83-D83</f>
        <v>-164654</v>
      </c>
      <c r="H83" s="588">
        <f>+G83/D83*100</f>
        <v>-100</v>
      </c>
      <c r="I83" s="110" t="s">
        <v>344</v>
      </c>
      <c r="J83" s="251"/>
      <c r="K83" s="113"/>
      <c r="L83" s="113"/>
      <c r="M83" s="138" t="s">
        <v>473</v>
      </c>
      <c r="N83" s="138"/>
      <c r="O83" s="138"/>
      <c r="P83" s="251">
        <f>SUM(P84:P85)</f>
        <v>0</v>
      </c>
      <c r="Q83" s="114" t="s">
        <v>468</v>
      </c>
    </row>
    <row r="84" spans="1:20" ht="17.100000000000001" customHeight="1">
      <c r="A84" s="133"/>
      <c r="B84" s="384"/>
      <c r="C84" s="322"/>
      <c r="D84" s="140"/>
      <c r="E84" s="683"/>
      <c r="F84" s="589"/>
      <c r="G84" s="590"/>
      <c r="H84" s="591"/>
      <c r="I84" s="198" t="s">
        <v>361</v>
      </c>
      <c r="J84" s="290">
        <v>0</v>
      </c>
      <c r="K84" s="335" t="s">
        <v>468</v>
      </c>
      <c r="L84" s="334" t="s">
        <v>469</v>
      </c>
      <c r="M84" s="335">
        <v>1</v>
      </c>
      <c r="N84" s="335" t="s">
        <v>467</v>
      </c>
      <c r="O84" s="336" t="s">
        <v>460</v>
      </c>
      <c r="P84" s="257">
        <f>SUM(J84*M84)</f>
        <v>0</v>
      </c>
      <c r="Q84" s="125" t="s">
        <v>468</v>
      </c>
    </row>
    <row r="85" spans="1:20" ht="17.100000000000001" customHeight="1">
      <c r="A85" s="133"/>
      <c r="B85" s="384"/>
      <c r="C85" s="324"/>
      <c r="D85" s="146"/>
      <c r="E85" s="689"/>
      <c r="F85" s="653"/>
      <c r="G85" s="668"/>
      <c r="H85" s="669" t="e">
        <f>+G85/D85*100</f>
        <v>#DIV/0!</v>
      </c>
      <c r="I85" s="670" t="s">
        <v>73</v>
      </c>
      <c r="J85" s="284">
        <v>0</v>
      </c>
      <c r="K85" s="287" t="s">
        <v>468</v>
      </c>
      <c r="L85" s="286" t="s">
        <v>469</v>
      </c>
      <c r="M85" s="287">
        <v>1</v>
      </c>
      <c r="N85" s="287" t="s">
        <v>467</v>
      </c>
      <c r="O85" s="288" t="s">
        <v>460</v>
      </c>
      <c r="P85" s="284">
        <f>SUM(J85*M85)</f>
        <v>0</v>
      </c>
      <c r="Q85" s="289" t="s">
        <v>468</v>
      </c>
      <c r="T85" s="30"/>
    </row>
    <row r="86" spans="1:20" ht="17.100000000000001" customHeight="1">
      <c r="A86" s="133"/>
      <c r="B86" s="104"/>
      <c r="C86" s="378" t="s">
        <v>217</v>
      </c>
      <c r="D86" s="135">
        <v>683021</v>
      </c>
      <c r="E86" s="682">
        <f>+P86/1000</f>
        <v>0</v>
      </c>
      <c r="F86" s="586">
        <v>538723</v>
      </c>
      <c r="G86" s="587">
        <f>+E86-D86</f>
        <v>-683021</v>
      </c>
      <c r="H86" s="588">
        <f>+G86/D86*100</f>
        <v>-100</v>
      </c>
      <c r="I86" s="110" t="s">
        <v>344</v>
      </c>
      <c r="J86" s="394"/>
      <c r="K86" s="652"/>
      <c r="L86" s="652"/>
      <c r="M86" s="291" t="s">
        <v>473</v>
      </c>
      <c r="N86" s="291"/>
      <c r="O86" s="291"/>
      <c r="P86" s="394">
        <f>SUM(P87:P88)</f>
        <v>0</v>
      </c>
      <c r="Q86" s="397" t="s">
        <v>468</v>
      </c>
    </row>
    <row r="87" spans="1:20" ht="17.100000000000001" customHeight="1">
      <c r="A87" s="133"/>
      <c r="B87" s="384"/>
      <c r="C87" s="690"/>
      <c r="D87" s="140"/>
      <c r="E87" s="683"/>
      <c r="F87" s="589"/>
      <c r="G87" s="590"/>
      <c r="H87" s="591"/>
      <c r="I87" s="198" t="s">
        <v>380</v>
      </c>
      <c r="J87" s="290">
        <v>0</v>
      </c>
      <c r="K87" s="200" t="s">
        <v>468</v>
      </c>
      <c r="L87" s="199" t="s">
        <v>469</v>
      </c>
      <c r="M87" s="200">
        <v>1</v>
      </c>
      <c r="N87" s="200" t="s">
        <v>467</v>
      </c>
      <c r="O87" s="201" t="s">
        <v>460</v>
      </c>
      <c r="P87" s="290">
        <f>SUM(J87*M87)</f>
        <v>0</v>
      </c>
      <c r="Q87" s="202" t="s">
        <v>468</v>
      </c>
    </row>
    <row r="88" spans="1:20" ht="17.100000000000001" customHeight="1">
      <c r="A88" s="133"/>
      <c r="B88" s="384"/>
      <c r="C88" s="691"/>
      <c r="D88" s="146"/>
      <c r="E88" s="689"/>
      <c r="F88" s="653"/>
      <c r="G88" s="668">
        <f>+D88-E88</f>
        <v>0</v>
      </c>
      <c r="H88" s="669" t="e">
        <f>+G88/D88*100</f>
        <v>#DIV/0!</v>
      </c>
      <c r="I88" s="670" t="s">
        <v>73</v>
      </c>
      <c r="J88" s="284">
        <v>0</v>
      </c>
      <c r="K88" s="287" t="s">
        <v>468</v>
      </c>
      <c r="L88" s="286" t="s">
        <v>469</v>
      </c>
      <c r="M88" s="287">
        <v>1</v>
      </c>
      <c r="N88" s="287" t="s">
        <v>467</v>
      </c>
      <c r="O88" s="288" t="s">
        <v>460</v>
      </c>
      <c r="P88" s="284">
        <f>SUM(J88*M88)</f>
        <v>0</v>
      </c>
      <c r="Q88" s="289" t="s">
        <v>468</v>
      </c>
    </row>
    <row r="89" spans="1:20" ht="17.100000000000001" customHeight="1">
      <c r="A89" s="76"/>
      <c r="B89" s="425"/>
      <c r="C89" s="321" t="s">
        <v>42</v>
      </c>
      <c r="D89" s="135">
        <v>388070</v>
      </c>
      <c r="E89" s="573">
        <f>+P89/1000</f>
        <v>0</v>
      </c>
      <c r="F89" s="586">
        <v>22522</v>
      </c>
      <c r="G89" s="587">
        <f>+E89-D89</f>
        <v>-388070</v>
      </c>
      <c r="H89" s="588">
        <f>+G89/D89*100</f>
        <v>-100</v>
      </c>
      <c r="I89" s="110" t="s">
        <v>344</v>
      </c>
      <c r="J89" s="650"/>
      <c r="K89" s="652"/>
      <c r="L89" s="652"/>
      <c r="M89" s="291" t="s">
        <v>473</v>
      </c>
      <c r="N89" s="291"/>
      <c r="O89" s="291"/>
      <c r="P89" s="650">
        <f>SUM(P90:P92)</f>
        <v>0</v>
      </c>
      <c r="Q89" s="397" t="s">
        <v>468</v>
      </c>
    </row>
    <row r="90" spans="1:20" ht="17.100000000000001" customHeight="1">
      <c r="A90" s="133"/>
      <c r="B90" s="384"/>
      <c r="C90" s="322"/>
      <c r="D90" s="140"/>
      <c r="E90" s="577"/>
      <c r="F90" s="589"/>
      <c r="G90" s="590"/>
      <c r="H90" s="591"/>
      <c r="I90" s="692" t="s">
        <v>299</v>
      </c>
      <c r="J90" s="290">
        <v>0</v>
      </c>
      <c r="K90" s="200" t="s">
        <v>468</v>
      </c>
      <c r="L90" s="199" t="s">
        <v>469</v>
      </c>
      <c r="M90" s="200">
        <v>12</v>
      </c>
      <c r="N90" s="200" t="s">
        <v>472</v>
      </c>
      <c r="O90" s="201" t="s">
        <v>460</v>
      </c>
      <c r="P90" s="290">
        <f>SUM(J90*M90)</f>
        <v>0</v>
      </c>
      <c r="Q90" s="202" t="s">
        <v>468</v>
      </c>
    </row>
    <row r="91" spans="1:20" ht="17.100000000000001" customHeight="1">
      <c r="A91" s="133"/>
      <c r="B91" s="104"/>
      <c r="C91" s="322"/>
      <c r="D91" s="140"/>
      <c r="E91" s="577"/>
      <c r="F91" s="653"/>
      <c r="G91" s="590"/>
      <c r="H91" s="591"/>
      <c r="I91" s="693" t="s">
        <v>310</v>
      </c>
      <c r="J91" s="290">
        <v>0</v>
      </c>
      <c r="K91" s="200" t="s">
        <v>468</v>
      </c>
      <c r="L91" s="199" t="s">
        <v>469</v>
      </c>
      <c r="M91" s="200">
        <v>4</v>
      </c>
      <c r="N91" s="200" t="s">
        <v>467</v>
      </c>
      <c r="O91" s="201" t="s">
        <v>460</v>
      </c>
      <c r="P91" s="290">
        <f>SUM(J91*M91)</f>
        <v>0</v>
      </c>
      <c r="Q91" s="202" t="s">
        <v>468</v>
      </c>
    </row>
    <row r="92" spans="1:20" ht="17.100000000000001" customHeight="1">
      <c r="A92" s="133"/>
      <c r="B92" s="104"/>
      <c r="C92" s="324"/>
      <c r="D92" s="146"/>
      <c r="E92" s="583"/>
      <c r="F92" s="582"/>
      <c r="G92" s="668"/>
      <c r="H92" s="669"/>
      <c r="I92" s="694" t="s">
        <v>295</v>
      </c>
      <c r="J92" s="284">
        <v>0</v>
      </c>
      <c r="K92" s="287" t="s">
        <v>468</v>
      </c>
      <c r="L92" s="286" t="s">
        <v>469</v>
      </c>
      <c r="M92" s="287">
        <v>10</v>
      </c>
      <c r="N92" s="287" t="s">
        <v>467</v>
      </c>
      <c r="O92" s="288" t="s">
        <v>460</v>
      </c>
      <c r="P92" s="284">
        <f>SUM(J92*M92)</f>
        <v>0</v>
      </c>
      <c r="Q92" s="289" t="s">
        <v>468</v>
      </c>
    </row>
    <row r="93" spans="1:20" ht="17.100000000000001" customHeight="1">
      <c r="A93" s="133"/>
      <c r="B93" s="104"/>
      <c r="C93" s="321" t="s">
        <v>227</v>
      </c>
      <c r="D93" s="135">
        <v>0</v>
      </c>
      <c r="E93" s="682">
        <f>+P93/1000</f>
        <v>505277.78399999999</v>
      </c>
      <c r="F93" s="586">
        <v>593059</v>
      </c>
      <c r="G93" s="587">
        <f>E93-D93</f>
        <v>505277.78399999999</v>
      </c>
      <c r="H93" s="588" t="s">
        <v>524</v>
      </c>
      <c r="I93" s="110" t="s">
        <v>344</v>
      </c>
      <c r="J93" s="251"/>
      <c r="K93" s="113"/>
      <c r="L93" s="113"/>
      <c r="M93" s="138" t="s">
        <v>473</v>
      </c>
      <c r="N93" s="138"/>
      <c r="O93" s="138"/>
      <c r="P93" s="251">
        <f>SUM(P94:P95)</f>
        <v>505277784</v>
      </c>
      <c r="Q93" s="114" t="s">
        <v>468</v>
      </c>
    </row>
    <row r="94" spans="1:20" ht="17.100000000000001" customHeight="1">
      <c r="A94" s="133"/>
      <c r="B94" s="384"/>
      <c r="C94" s="322"/>
      <c r="D94" s="140"/>
      <c r="E94" s="683"/>
      <c r="F94" s="589"/>
      <c r="G94" s="590"/>
      <c r="H94" s="591"/>
      <c r="I94" s="198" t="s">
        <v>341</v>
      </c>
      <c r="J94" s="290">
        <v>505277784</v>
      </c>
      <c r="K94" s="335" t="s">
        <v>468</v>
      </c>
      <c r="L94" s="334" t="s">
        <v>469</v>
      </c>
      <c r="M94" s="335">
        <v>1</v>
      </c>
      <c r="N94" s="335" t="s">
        <v>467</v>
      </c>
      <c r="O94" s="336" t="s">
        <v>460</v>
      </c>
      <c r="P94" s="257">
        <f>SUM(J94*M94)</f>
        <v>505277784</v>
      </c>
      <c r="Q94" s="125" t="s">
        <v>468</v>
      </c>
    </row>
    <row r="95" spans="1:20" ht="17.100000000000001" customHeight="1">
      <c r="A95" s="133"/>
      <c r="B95" s="384"/>
      <c r="C95" s="324"/>
      <c r="D95" s="146"/>
      <c r="E95" s="689"/>
      <c r="F95" s="653"/>
      <c r="G95" s="668"/>
      <c r="H95" s="669" t="e">
        <f>+G95/D95*100</f>
        <v>#DIV/0!</v>
      </c>
      <c r="I95" s="670" t="s">
        <v>343</v>
      </c>
      <c r="J95" s="284">
        <v>0</v>
      </c>
      <c r="K95" s="287" t="s">
        <v>468</v>
      </c>
      <c r="L95" s="286" t="s">
        <v>469</v>
      </c>
      <c r="M95" s="287">
        <v>1</v>
      </c>
      <c r="N95" s="287" t="s">
        <v>467</v>
      </c>
      <c r="O95" s="288" t="s">
        <v>460</v>
      </c>
      <c r="P95" s="284">
        <f>SUM(J95*M95)</f>
        <v>0</v>
      </c>
      <c r="Q95" s="289" t="s">
        <v>468</v>
      </c>
      <c r="T95" s="30"/>
    </row>
    <row r="96" spans="1:20" ht="17.100000000000001" customHeight="1">
      <c r="A96" s="76" t="s">
        <v>566</v>
      </c>
      <c r="B96" s="91" t="s">
        <v>567</v>
      </c>
      <c r="C96" s="378" t="s">
        <v>214</v>
      </c>
      <c r="D96" s="135">
        <v>0</v>
      </c>
      <c r="E96" s="682">
        <f>+P96/1000</f>
        <v>447506</v>
      </c>
      <c r="F96" s="586">
        <v>538723</v>
      </c>
      <c r="G96" s="587">
        <f>+E96-D96</f>
        <v>447506</v>
      </c>
      <c r="H96" s="588" t="s">
        <v>524</v>
      </c>
      <c r="I96" s="110" t="s">
        <v>344</v>
      </c>
      <c r="J96" s="394"/>
      <c r="K96" s="652"/>
      <c r="L96" s="652"/>
      <c r="M96" s="291" t="s">
        <v>473</v>
      </c>
      <c r="N96" s="291"/>
      <c r="O96" s="291"/>
      <c r="P96" s="394">
        <f>SUM(P97:P98)</f>
        <v>447506000</v>
      </c>
      <c r="Q96" s="397" t="s">
        <v>468</v>
      </c>
    </row>
    <row r="97" spans="1:20" ht="17.100000000000001" customHeight="1">
      <c r="A97" s="133"/>
      <c r="B97" s="384"/>
      <c r="C97" s="690"/>
      <c r="D97" s="140"/>
      <c r="E97" s="683"/>
      <c r="F97" s="589"/>
      <c r="G97" s="590"/>
      <c r="H97" s="591"/>
      <c r="I97" s="198" t="s">
        <v>334</v>
      </c>
      <c r="J97" s="290">
        <v>103753000</v>
      </c>
      <c r="K97" s="200" t="s">
        <v>468</v>
      </c>
      <c r="L97" s="199" t="s">
        <v>469</v>
      </c>
      <c r="M97" s="200">
        <v>2</v>
      </c>
      <c r="N97" s="200" t="s">
        <v>467</v>
      </c>
      <c r="O97" s="201" t="s">
        <v>460</v>
      </c>
      <c r="P97" s="290">
        <f>SUM(J97*M97)</f>
        <v>207506000</v>
      </c>
      <c r="Q97" s="202" t="s">
        <v>468</v>
      </c>
    </row>
    <row r="98" spans="1:20" ht="17.100000000000001" customHeight="1">
      <c r="A98" s="133"/>
      <c r="B98" s="384"/>
      <c r="C98" s="691"/>
      <c r="D98" s="146"/>
      <c r="E98" s="689"/>
      <c r="F98" s="653"/>
      <c r="G98" s="668">
        <f>+D98-E98</f>
        <v>0</v>
      </c>
      <c r="H98" s="669" t="e">
        <f>+G98/D98*100</f>
        <v>#DIV/0!</v>
      </c>
      <c r="I98" s="695" t="s">
        <v>562</v>
      </c>
      <c r="J98" s="284">
        <v>60000000</v>
      </c>
      <c r="K98" s="287" t="s">
        <v>468</v>
      </c>
      <c r="L98" s="286" t="s">
        <v>469</v>
      </c>
      <c r="M98" s="287">
        <v>4</v>
      </c>
      <c r="N98" s="287" t="s">
        <v>467</v>
      </c>
      <c r="O98" s="288" t="s">
        <v>460</v>
      </c>
      <c r="P98" s="284">
        <f>SUM(J98*M98)</f>
        <v>240000000</v>
      </c>
      <c r="Q98" s="289" t="s">
        <v>468</v>
      </c>
    </row>
    <row r="99" spans="1:20" ht="17.100000000000001" customHeight="1">
      <c r="A99" s="76"/>
      <c r="B99" s="425"/>
      <c r="C99" s="321" t="s">
        <v>220</v>
      </c>
      <c r="D99" s="135">
        <v>0</v>
      </c>
      <c r="E99" s="573">
        <f>+P99/1000</f>
        <v>151970</v>
      </c>
      <c r="F99" s="586">
        <v>22522</v>
      </c>
      <c r="G99" s="587">
        <f>+E99-D99</f>
        <v>151970</v>
      </c>
      <c r="H99" s="588" t="s">
        <v>524</v>
      </c>
      <c r="I99" s="110" t="s">
        <v>344</v>
      </c>
      <c r="J99" s="650"/>
      <c r="K99" s="652"/>
      <c r="L99" s="652"/>
      <c r="M99" s="291" t="s">
        <v>473</v>
      </c>
      <c r="N99" s="291"/>
      <c r="O99" s="291"/>
      <c r="P99" s="650">
        <f>SUM(P100:P101)</f>
        <v>151970000</v>
      </c>
      <c r="Q99" s="397" t="s">
        <v>468</v>
      </c>
    </row>
    <row r="100" spans="1:20" ht="17.100000000000001" customHeight="1">
      <c r="A100" s="133"/>
      <c r="B100" s="384"/>
      <c r="C100" s="322"/>
      <c r="D100" s="140"/>
      <c r="E100" s="577"/>
      <c r="F100" s="589"/>
      <c r="G100" s="590"/>
      <c r="H100" s="591"/>
      <c r="I100" s="693" t="s">
        <v>561</v>
      </c>
      <c r="J100" s="290">
        <v>5525000</v>
      </c>
      <c r="K100" s="200" t="s">
        <v>468</v>
      </c>
      <c r="L100" s="199" t="s">
        <v>469</v>
      </c>
      <c r="M100" s="200">
        <v>12</v>
      </c>
      <c r="N100" s="200" t="s">
        <v>472</v>
      </c>
      <c r="O100" s="201" t="s">
        <v>460</v>
      </c>
      <c r="P100" s="290">
        <f>SUM(J100*M100)</f>
        <v>66300000</v>
      </c>
      <c r="Q100" s="202" t="s">
        <v>468</v>
      </c>
    </row>
    <row r="101" spans="1:20" ht="17.100000000000001" customHeight="1">
      <c r="A101" s="203"/>
      <c r="B101" s="166"/>
      <c r="C101" s="324"/>
      <c r="D101" s="146"/>
      <c r="E101" s="583"/>
      <c r="F101" s="582"/>
      <c r="G101" s="668"/>
      <c r="H101" s="669" t="e">
        <f>+G101/D101*100</f>
        <v>#DIV/0!</v>
      </c>
      <c r="I101" s="694" t="s">
        <v>295</v>
      </c>
      <c r="J101" s="284">
        <v>8567000</v>
      </c>
      <c r="K101" s="287" t="s">
        <v>468</v>
      </c>
      <c r="L101" s="286" t="s">
        <v>469</v>
      </c>
      <c r="M101" s="287">
        <v>10</v>
      </c>
      <c r="N101" s="287" t="s">
        <v>467</v>
      </c>
      <c r="O101" s="288" t="s">
        <v>460</v>
      </c>
      <c r="P101" s="284">
        <f>SUM(J101*M101)</f>
        <v>85670000</v>
      </c>
      <c r="Q101" s="289" t="s">
        <v>468</v>
      </c>
    </row>
    <row r="102" spans="1:20" ht="18.95" customHeight="1">
      <c r="A102" s="429" t="s">
        <v>482</v>
      </c>
      <c r="B102" s="592" t="s">
        <v>484</v>
      </c>
      <c r="C102" s="430"/>
      <c r="D102" s="593">
        <f>SUM(D103)</f>
        <v>4546464</v>
      </c>
      <c r="E102" s="642">
        <f>SUM(E103)</f>
        <v>4546463.5979999993</v>
      </c>
      <c r="F102" s="617">
        <f>SUM(F103)</f>
        <v>1596860</v>
      </c>
      <c r="G102" s="596">
        <f>+E102-D102</f>
        <v>-0.40200000070035458</v>
      </c>
      <c r="H102" s="597">
        <f t="shared" ref="H102:H115" si="5">+G102/D102*100</f>
        <v>-8.8420363759694255E-6</v>
      </c>
      <c r="I102" s="242"/>
      <c r="J102" s="242"/>
      <c r="K102" s="243"/>
      <c r="L102" s="243"/>
      <c r="M102" s="242"/>
      <c r="N102" s="242"/>
      <c r="O102" s="242"/>
      <c r="P102" s="598">
        <f>SUM(P103)</f>
        <v>4546463598</v>
      </c>
      <c r="Q102" s="401" t="s">
        <v>468</v>
      </c>
    </row>
    <row r="103" spans="1:20" ht="17.100000000000001" customHeight="1">
      <c r="A103" s="133"/>
      <c r="B103" s="178" t="s">
        <v>482</v>
      </c>
      <c r="C103" s="372" t="s">
        <v>459</v>
      </c>
      <c r="D103" s="374">
        <f>SUM(D104:D106)</f>
        <v>4546464</v>
      </c>
      <c r="E103" s="696">
        <f>SUM(E104:E106)-1</f>
        <v>4546463.5979999993</v>
      </c>
      <c r="F103" s="697">
        <f>SUM(F104:F106)</f>
        <v>1596860</v>
      </c>
      <c r="G103" s="569">
        <f>E103-D103</f>
        <v>-0.40200000070035458</v>
      </c>
      <c r="H103" s="570">
        <f t="shared" si="5"/>
        <v>-8.8420363759694255E-6</v>
      </c>
      <c r="I103" s="112" t="s">
        <v>505</v>
      </c>
      <c r="J103" s="242" t="s">
        <v>505</v>
      </c>
      <c r="K103" s="113"/>
      <c r="L103" s="113"/>
      <c r="M103" s="112"/>
      <c r="N103" s="244" t="s">
        <v>473</v>
      </c>
      <c r="O103" s="244"/>
      <c r="P103" s="185">
        <f>SUM(P104:P106)</f>
        <v>4546463598</v>
      </c>
      <c r="Q103" s="114" t="s">
        <v>468</v>
      </c>
    </row>
    <row r="104" spans="1:20" ht="17.100000000000001" customHeight="1">
      <c r="A104" s="133"/>
      <c r="B104" s="104"/>
      <c r="C104" s="698" t="s">
        <v>547</v>
      </c>
      <c r="D104" s="699">
        <v>1474295</v>
      </c>
      <c r="E104" s="700">
        <f>+P104/1000</f>
        <v>1474294.905</v>
      </c>
      <c r="F104" s="701">
        <v>313065</v>
      </c>
      <c r="G104" s="569">
        <f>E104-D104</f>
        <v>-9.4999999972060323E-2</v>
      </c>
      <c r="H104" s="570">
        <f t="shared" si="5"/>
        <v>-6.4437578620330612E-6</v>
      </c>
      <c r="I104" s="702" t="s">
        <v>547</v>
      </c>
      <c r="J104" s="241">
        <v>1474294905</v>
      </c>
      <c r="K104" s="242" t="s">
        <v>468</v>
      </c>
      <c r="L104" s="328" t="s">
        <v>469</v>
      </c>
      <c r="M104" s="243">
        <v>1</v>
      </c>
      <c r="N104" s="243" t="s">
        <v>467</v>
      </c>
      <c r="O104" s="329" t="s">
        <v>460</v>
      </c>
      <c r="P104" s="512">
        <f>+J104*M104</f>
        <v>1474294905</v>
      </c>
      <c r="Q104" s="102" t="s">
        <v>468</v>
      </c>
    </row>
    <row r="105" spans="1:20" ht="17.100000000000001" customHeight="1">
      <c r="A105" s="133"/>
      <c r="B105" s="104"/>
      <c r="C105" s="349" t="s">
        <v>60</v>
      </c>
      <c r="D105" s="388">
        <v>775361</v>
      </c>
      <c r="E105" s="700">
        <f>+P105/1000+1</f>
        <v>775361.43299999996</v>
      </c>
      <c r="F105" s="701">
        <v>1283795</v>
      </c>
      <c r="G105" s="569">
        <f>E105-D105</f>
        <v>0.43299999996088445</v>
      </c>
      <c r="H105" s="570">
        <f t="shared" si="5"/>
        <v>5.5844954796654008E-5</v>
      </c>
      <c r="I105" s="702" t="s">
        <v>60</v>
      </c>
      <c r="J105" s="241">
        <v>775360433</v>
      </c>
      <c r="K105" s="242" t="s">
        <v>468</v>
      </c>
      <c r="L105" s="328" t="s">
        <v>469</v>
      </c>
      <c r="M105" s="243">
        <v>1</v>
      </c>
      <c r="N105" s="243" t="s">
        <v>467</v>
      </c>
      <c r="O105" s="329" t="s">
        <v>460</v>
      </c>
      <c r="P105" s="512">
        <f>+J105*M105</f>
        <v>775360433</v>
      </c>
      <c r="Q105" s="102" t="s">
        <v>468</v>
      </c>
    </row>
    <row r="106" spans="1:20" ht="17.100000000000001" customHeight="1">
      <c r="A106" s="133"/>
      <c r="B106" s="104" t="s">
        <v>505</v>
      </c>
      <c r="C106" s="703" t="s">
        <v>88</v>
      </c>
      <c r="D106" s="388">
        <v>2296808</v>
      </c>
      <c r="E106" s="700">
        <f>+P106/1000</f>
        <v>2296808.2599999998</v>
      </c>
      <c r="F106" s="701">
        <v>0</v>
      </c>
      <c r="G106" s="569">
        <f>E106-D106</f>
        <v>0.25999999977648258</v>
      </c>
      <c r="H106" s="570">
        <f t="shared" si="5"/>
        <v>1.13200580882896E-5</v>
      </c>
      <c r="I106" s="110" t="s">
        <v>88</v>
      </c>
      <c r="J106" s="241">
        <v>2296808260</v>
      </c>
      <c r="K106" s="112" t="s">
        <v>468</v>
      </c>
      <c r="L106" s="214" t="s">
        <v>469</v>
      </c>
      <c r="M106" s="113">
        <v>1</v>
      </c>
      <c r="N106" s="113" t="s">
        <v>467</v>
      </c>
      <c r="O106" s="377" t="s">
        <v>460</v>
      </c>
      <c r="P106" s="251">
        <f>+J106*M106</f>
        <v>2296808260</v>
      </c>
      <c r="Q106" s="114" t="s">
        <v>468</v>
      </c>
    </row>
    <row r="107" spans="1:20" ht="18.95" customHeight="1">
      <c r="A107" s="429" t="s">
        <v>519</v>
      </c>
      <c r="B107" s="430" t="s">
        <v>484</v>
      </c>
      <c r="C107" s="431"/>
      <c r="D107" s="181">
        <f>D108</f>
        <v>341064</v>
      </c>
      <c r="E107" s="704">
        <f>E108</f>
        <v>380929.97</v>
      </c>
      <c r="F107" s="705">
        <f>F108</f>
        <v>0</v>
      </c>
      <c r="G107" s="706">
        <f>G108</f>
        <v>39865.969999999972</v>
      </c>
      <c r="H107" s="597">
        <f t="shared" si="5"/>
        <v>11.688706518424686</v>
      </c>
      <c r="I107" s="110"/>
      <c r="J107" s="251"/>
      <c r="K107" s="112"/>
      <c r="L107" s="214"/>
      <c r="M107" s="113"/>
      <c r="N107" s="113"/>
      <c r="O107" s="377"/>
      <c r="P107" s="707">
        <f>SUM(P108)</f>
        <v>380929970</v>
      </c>
      <c r="Q107" s="433" t="s">
        <v>468</v>
      </c>
    </row>
    <row r="108" spans="1:20" ht="17.100000000000001" customHeight="1">
      <c r="A108" s="76"/>
      <c r="B108" s="91" t="s">
        <v>519</v>
      </c>
      <c r="C108" s="708" t="s">
        <v>459</v>
      </c>
      <c r="D108" s="374">
        <f>SUM(D109:D115)</f>
        <v>341064</v>
      </c>
      <c r="E108" s="696">
        <f>SUM(E109:E115)</f>
        <v>380929.97</v>
      </c>
      <c r="F108" s="709"/>
      <c r="G108" s="569">
        <f>E108-D108</f>
        <v>39865.969999999972</v>
      </c>
      <c r="H108" s="710">
        <f>G108/D108*100</f>
        <v>11.688706518424686</v>
      </c>
      <c r="I108" s="110"/>
      <c r="J108" s="251"/>
      <c r="K108" s="112"/>
      <c r="L108" s="214"/>
      <c r="M108" s="113"/>
      <c r="N108" s="244" t="s">
        <v>473</v>
      </c>
      <c r="O108" s="244"/>
      <c r="P108" s="251">
        <f>SUM(P109:P111)</f>
        <v>380929970</v>
      </c>
      <c r="Q108" s="114" t="s">
        <v>468</v>
      </c>
    </row>
    <row r="109" spans="1:20" ht="17.100000000000001" customHeight="1">
      <c r="A109" s="133"/>
      <c r="B109" s="104"/>
      <c r="C109" s="424" t="s">
        <v>27</v>
      </c>
      <c r="D109" s="388">
        <v>8000</v>
      </c>
      <c r="E109" s="711">
        <f>P109/1000</f>
        <v>8000</v>
      </c>
      <c r="F109" s="712"/>
      <c r="G109" s="569">
        <f>+E109-D109</f>
        <v>0</v>
      </c>
      <c r="H109" s="710">
        <f>G109/D109*100</f>
        <v>0</v>
      </c>
      <c r="I109" s="702" t="s">
        <v>27</v>
      </c>
      <c r="J109" s="241">
        <v>2000000</v>
      </c>
      <c r="K109" s="243" t="s">
        <v>468</v>
      </c>
      <c r="L109" s="328" t="s">
        <v>469</v>
      </c>
      <c r="M109" s="243">
        <v>4</v>
      </c>
      <c r="N109" s="243" t="s">
        <v>491</v>
      </c>
      <c r="O109" s="329" t="s">
        <v>460</v>
      </c>
      <c r="P109" s="241">
        <f>SUM(J109*M109)</f>
        <v>8000000</v>
      </c>
      <c r="Q109" s="102" t="s">
        <v>468</v>
      </c>
      <c r="T109" s="40"/>
    </row>
    <row r="110" spans="1:20" ht="17.100000000000001" customHeight="1">
      <c r="A110" s="133"/>
      <c r="B110" s="104"/>
      <c r="C110" s="235" t="s">
        <v>119</v>
      </c>
      <c r="D110" s="388">
        <v>57052</v>
      </c>
      <c r="E110" s="713">
        <f>P110/1000</f>
        <v>56917.97</v>
      </c>
      <c r="F110" s="712"/>
      <c r="G110" s="569">
        <f>+E110-D110</f>
        <v>-134.02999999999884</v>
      </c>
      <c r="H110" s="570">
        <f>G110/D110*100</f>
        <v>-0.23492603239150042</v>
      </c>
      <c r="I110" s="714" t="s">
        <v>243</v>
      </c>
      <c r="J110" s="241">
        <v>56917970</v>
      </c>
      <c r="K110" s="243" t="s">
        <v>468</v>
      </c>
      <c r="L110" s="243" t="s">
        <v>469</v>
      </c>
      <c r="M110" s="242">
        <v>1</v>
      </c>
      <c r="N110" s="243" t="s">
        <v>467</v>
      </c>
      <c r="O110" s="242" t="s">
        <v>460</v>
      </c>
      <c r="P110" s="241">
        <f>J110*M110</f>
        <v>56917970</v>
      </c>
      <c r="Q110" s="102" t="s">
        <v>468</v>
      </c>
      <c r="T110" s="40"/>
    </row>
    <row r="111" spans="1:20" ht="17.100000000000001" customHeight="1">
      <c r="A111" s="133"/>
      <c r="B111" s="104"/>
      <c r="C111" s="380" t="s">
        <v>31</v>
      </c>
      <c r="D111" s="140">
        <v>276012</v>
      </c>
      <c r="E111" s="683">
        <f>+P111/1000</f>
        <v>316012</v>
      </c>
      <c r="F111" s="586">
        <v>6500</v>
      </c>
      <c r="G111" s="590">
        <f>+E111-D111</f>
        <v>40000</v>
      </c>
      <c r="H111" s="715">
        <f t="shared" si="5"/>
        <v>14.492123530860976</v>
      </c>
      <c r="I111" s="110"/>
      <c r="J111" s="111"/>
      <c r="K111" s="113"/>
      <c r="L111" s="113"/>
      <c r="M111" s="138" t="s">
        <v>473</v>
      </c>
      <c r="N111" s="138"/>
      <c r="O111" s="138"/>
      <c r="P111" s="111">
        <f>SUM(P112:P115)</f>
        <v>316012000</v>
      </c>
      <c r="Q111" s="114" t="s">
        <v>468</v>
      </c>
      <c r="T111" s="40"/>
    </row>
    <row r="112" spans="1:20" ht="17.100000000000001" customHeight="1">
      <c r="A112" s="133"/>
      <c r="B112" s="104"/>
      <c r="C112" s="379"/>
      <c r="D112" s="140"/>
      <c r="E112" s="683"/>
      <c r="F112" s="589"/>
      <c r="G112" s="590"/>
      <c r="H112" s="715" t="e">
        <f t="shared" si="5"/>
        <v>#DIV/0!</v>
      </c>
      <c r="I112" s="606" t="s">
        <v>293</v>
      </c>
      <c r="J112" s="197">
        <v>3375000</v>
      </c>
      <c r="K112" s="200" t="s">
        <v>468</v>
      </c>
      <c r="L112" s="199" t="s">
        <v>469</v>
      </c>
      <c r="M112" s="200">
        <v>4</v>
      </c>
      <c r="N112" s="200" t="s">
        <v>467</v>
      </c>
      <c r="O112" s="201" t="s">
        <v>460</v>
      </c>
      <c r="P112" s="197">
        <f>J112*M112</f>
        <v>13500000</v>
      </c>
      <c r="Q112" s="202" t="s">
        <v>468</v>
      </c>
      <c r="T112" s="40"/>
    </row>
    <row r="113" spans="1:27" ht="17.100000000000001" customHeight="1">
      <c r="A113" s="133"/>
      <c r="B113" s="104"/>
      <c r="C113" s="379"/>
      <c r="D113" s="140"/>
      <c r="E113" s="683"/>
      <c r="F113" s="589"/>
      <c r="G113" s="590"/>
      <c r="H113" s="588"/>
      <c r="I113" s="654" t="s">
        <v>379</v>
      </c>
      <c r="J113" s="197">
        <v>237512000</v>
      </c>
      <c r="K113" s="200" t="s">
        <v>468</v>
      </c>
      <c r="L113" s="199" t="s">
        <v>469</v>
      </c>
      <c r="M113" s="200">
        <v>1</v>
      </c>
      <c r="N113" s="200" t="s">
        <v>467</v>
      </c>
      <c r="O113" s="201" t="s">
        <v>460</v>
      </c>
      <c r="P113" s="197">
        <f>J113*M113</f>
        <v>237512000</v>
      </c>
      <c r="Q113" s="202" t="s">
        <v>468</v>
      </c>
      <c r="T113" s="40"/>
    </row>
    <row r="114" spans="1:27" ht="17.100000000000001" customHeight="1">
      <c r="A114" s="133"/>
      <c r="B114" s="104"/>
      <c r="C114" s="379"/>
      <c r="D114" s="140"/>
      <c r="E114" s="683"/>
      <c r="F114" s="589"/>
      <c r="G114" s="590"/>
      <c r="H114" s="588"/>
      <c r="I114" s="654" t="s">
        <v>336</v>
      </c>
      <c r="J114" s="197">
        <v>40000000</v>
      </c>
      <c r="K114" s="200" t="s">
        <v>468</v>
      </c>
      <c r="L114" s="199" t="s">
        <v>469</v>
      </c>
      <c r="M114" s="200">
        <v>1</v>
      </c>
      <c r="N114" s="200" t="s">
        <v>467</v>
      </c>
      <c r="O114" s="201" t="s">
        <v>460</v>
      </c>
      <c r="P114" s="197">
        <f>J114*M114</f>
        <v>40000000</v>
      </c>
      <c r="Q114" s="202" t="s">
        <v>468</v>
      </c>
      <c r="T114" s="40"/>
    </row>
    <row r="115" spans="1:27" ht="15.95" customHeight="1">
      <c r="A115" s="220"/>
      <c r="B115" s="716"/>
      <c r="C115" s="717"/>
      <c r="D115" s="718"/>
      <c r="E115" s="719"/>
      <c r="F115" s="720"/>
      <c r="G115" s="721">
        <f>+E115-D115</f>
        <v>0</v>
      </c>
      <c r="H115" s="722" t="e">
        <f t="shared" si="5"/>
        <v>#DIV/0!</v>
      </c>
      <c r="I115" s="723" t="s">
        <v>31</v>
      </c>
      <c r="J115" s="724">
        <v>5000000</v>
      </c>
      <c r="K115" s="497" t="s">
        <v>468</v>
      </c>
      <c r="L115" s="496" t="s">
        <v>469</v>
      </c>
      <c r="M115" s="497">
        <v>5</v>
      </c>
      <c r="N115" s="497" t="s">
        <v>467</v>
      </c>
      <c r="O115" s="498" t="s">
        <v>460</v>
      </c>
      <c r="P115" s="724">
        <f>SUM(J115*M115)</f>
        <v>25000000</v>
      </c>
      <c r="Q115" s="500" t="s">
        <v>468</v>
      </c>
      <c r="T115" s="40"/>
      <c r="AA115" s="725"/>
    </row>
    <row r="116" spans="1:27" ht="15.95" customHeight="1">
      <c r="A116" s="531"/>
      <c r="B116" s="531"/>
      <c r="C116" s="531"/>
      <c r="D116" s="530"/>
      <c r="E116" s="532"/>
      <c r="F116" s="726"/>
      <c r="G116" s="727"/>
      <c r="H116" s="728"/>
      <c r="I116" s="173"/>
      <c r="J116" s="99"/>
      <c r="K116" s="101"/>
      <c r="L116" s="122"/>
      <c r="M116" s="101"/>
      <c r="N116" s="101"/>
      <c r="O116" s="123"/>
      <c r="P116" s="99"/>
      <c r="Q116" s="100"/>
      <c r="T116" s="40"/>
      <c r="AA116" s="725"/>
    </row>
    <row r="117" spans="1:27">
      <c r="T117" s="40"/>
      <c r="AA117" s="725"/>
    </row>
    <row r="118" spans="1:27">
      <c r="T118" s="40"/>
      <c r="AA118" s="725"/>
    </row>
    <row r="119" spans="1:27">
      <c r="T119" s="40"/>
      <c r="AA119" s="725"/>
    </row>
    <row r="120" spans="1:27">
      <c r="T120" s="40"/>
      <c r="AA120" s="725"/>
    </row>
    <row r="121" spans="1:27">
      <c r="T121" s="40"/>
      <c r="AA121" s="725"/>
    </row>
    <row r="122" spans="1:27">
      <c r="T122" s="40"/>
      <c r="AA122" s="725"/>
    </row>
    <row r="123" spans="1:27">
      <c r="T123" s="40"/>
    </row>
    <row r="124" spans="1:27">
      <c r="T124" s="40"/>
    </row>
    <row r="125" spans="1:27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S125" s="39"/>
      <c r="T125" s="40"/>
    </row>
  </sheetData>
  <mergeCells count="150">
    <mergeCell ref="C99:C101"/>
    <mergeCell ref="D99:D101"/>
    <mergeCell ref="E99:E101"/>
    <mergeCell ref="F99:F100"/>
    <mergeCell ref="G99:G101"/>
    <mergeCell ref="H99:H101"/>
    <mergeCell ref="M99:O99"/>
    <mergeCell ref="C93:C95"/>
    <mergeCell ref="D93:D95"/>
    <mergeCell ref="E93:E95"/>
    <mergeCell ref="F93:F95"/>
    <mergeCell ref="G93:G95"/>
    <mergeCell ref="H93:H95"/>
    <mergeCell ref="M93:O93"/>
    <mergeCell ref="C96:C98"/>
    <mergeCell ref="D96:D98"/>
    <mergeCell ref="E96:E98"/>
    <mergeCell ref="F96:F98"/>
    <mergeCell ref="G96:G98"/>
    <mergeCell ref="H96:H98"/>
    <mergeCell ref="M96:O96"/>
    <mergeCell ref="D111:D115"/>
    <mergeCell ref="E111:E115"/>
    <mergeCell ref="G60:G64"/>
    <mergeCell ref="F49:F50"/>
    <mergeCell ref="H49:H53"/>
    <mergeCell ref="G49:G53"/>
    <mergeCell ref="F54:F55"/>
    <mergeCell ref="F47:F48"/>
    <mergeCell ref="R56:U56"/>
    <mergeCell ref="H70:H77"/>
    <mergeCell ref="M80:O80"/>
    <mergeCell ref="H80:H82"/>
    <mergeCell ref="M60:O60"/>
    <mergeCell ref="H47:H48"/>
    <mergeCell ref="H60:H64"/>
    <mergeCell ref="M49:O49"/>
    <mergeCell ref="M54:O54"/>
    <mergeCell ref="H66:H69"/>
    <mergeCell ref="M66:O66"/>
    <mergeCell ref="F66:F69"/>
    <mergeCell ref="G66:G69"/>
    <mergeCell ref="G70:G77"/>
    <mergeCell ref="G47:G48"/>
    <mergeCell ref="D89:D92"/>
    <mergeCell ref="E89:E92"/>
    <mergeCell ref="G89:G92"/>
    <mergeCell ref="E70:E77"/>
    <mergeCell ref="F86:F88"/>
    <mergeCell ref="G80:G82"/>
    <mergeCell ref="F89:F91"/>
    <mergeCell ref="G83:G85"/>
    <mergeCell ref="F70:F77"/>
    <mergeCell ref="G86:G88"/>
    <mergeCell ref="F83:F85"/>
    <mergeCell ref="D80:D82"/>
    <mergeCell ref="D86:D88"/>
    <mergeCell ref="C86:C88"/>
    <mergeCell ref="E80:E82"/>
    <mergeCell ref="C80:C82"/>
    <mergeCell ref="D83:D85"/>
    <mergeCell ref="E86:E88"/>
    <mergeCell ref="C83:C85"/>
    <mergeCell ref="E83:E85"/>
    <mergeCell ref="B78:C78"/>
    <mergeCell ref="C60:C64"/>
    <mergeCell ref="D60:D64"/>
    <mergeCell ref="D49:D53"/>
    <mergeCell ref="D70:D77"/>
    <mergeCell ref="C70:C77"/>
    <mergeCell ref="E49:E53"/>
    <mergeCell ref="M111:O111"/>
    <mergeCell ref="M83:O83"/>
    <mergeCell ref="H83:H85"/>
    <mergeCell ref="N108:O108"/>
    <mergeCell ref="N103:O103"/>
    <mergeCell ref="H111:H115"/>
    <mergeCell ref="M86:O86"/>
    <mergeCell ref="M89:O89"/>
    <mergeCell ref="H89:H92"/>
    <mergeCell ref="H86:H88"/>
    <mergeCell ref="B107:C107"/>
    <mergeCell ref="F111:F115"/>
    <mergeCell ref="B102:C102"/>
    <mergeCell ref="C111:C115"/>
    <mergeCell ref="F80:F82"/>
    <mergeCell ref="G111:G115"/>
    <mergeCell ref="C89:C92"/>
    <mergeCell ref="O3:Q3"/>
    <mergeCell ref="F16:F19"/>
    <mergeCell ref="D4:D5"/>
    <mergeCell ref="E60:E64"/>
    <mergeCell ref="C66:C69"/>
    <mergeCell ref="D66:D69"/>
    <mergeCell ref="E66:E69"/>
    <mergeCell ref="C49:C53"/>
    <mergeCell ref="B22:C22"/>
    <mergeCell ref="D42:D44"/>
    <mergeCell ref="B45:C45"/>
    <mergeCell ref="D47:D48"/>
    <mergeCell ref="C24:C30"/>
    <mergeCell ref="E47:E48"/>
    <mergeCell ref="M16:O16"/>
    <mergeCell ref="I24:J24"/>
    <mergeCell ref="C47:C48"/>
    <mergeCell ref="C20:C21"/>
    <mergeCell ref="B37:C37"/>
    <mergeCell ref="C54:C59"/>
    <mergeCell ref="D54:D59"/>
    <mergeCell ref="E54:E59"/>
    <mergeCell ref="G54:G59"/>
    <mergeCell ref="H54:H59"/>
    <mergeCell ref="A1:Q1"/>
    <mergeCell ref="F42:F43"/>
    <mergeCell ref="D16:D19"/>
    <mergeCell ref="M9:O9"/>
    <mergeCell ref="E4:E5"/>
    <mergeCell ref="A4:A5"/>
    <mergeCell ref="B40:C40"/>
    <mergeCell ref="F4:F5"/>
    <mergeCell ref="B4:B5"/>
    <mergeCell ref="M24:O24"/>
    <mergeCell ref="H42:H44"/>
    <mergeCell ref="E20:E21"/>
    <mergeCell ref="G20:G21"/>
    <mergeCell ref="H20:H21"/>
    <mergeCell ref="E42:E44"/>
    <mergeCell ref="G42:G44"/>
    <mergeCell ref="E24:E30"/>
    <mergeCell ref="G24:G30"/>
    <mergeCell ref="C4:C5"/>
    <mergeCell ref="G4:H4"/>
    <mergeCell ref="C16:C19"/>
    <mergeCell ref="E16:E19"/>
    <mergeCell ref="G9:G15"/>
    <mergeCell ref="H9:H15"/>
    <mergeCell ref="D20:D21"/>
    <mergeCell ref="C42:C44"/>
    <mergeCell ref="I4:Q5"/>
    <mergeCell ref="M20:O20"/>
    <mergeCell ref="B7:C7"/>
    <mergeCell ref="G16:G19"/>
    <mergeCell ref="A6:C6"/>
    <mergeCell ref="H16:H19"/>
    <mergeCell ref="C9:C15"/>
    <mergeCell ref="D9:D15"/>
    <mergeCell ref="E9:E15"/>
    <mergeCell ref="H24:H30"/>
    <mergeCell ref="F24:F36"/>
    <mergeCell ref="D24:D30"/>
  </mergeCells>
  <phoneticPr fontId="7" type="noConversion"/>
  <pageMargins left="0.19666667282581329" right="0.19666667282581329" top="0.59041666984558105" bottom="0.39347222447395325" header="0.39347222447395325" footer="0.19666667282581329"/>
  <pageSetup paperSize="9" scale="90" orientation="landscape" r:id="rId1"/>
  <headerFooter>
    <oddFooter>&amp;C&amp;"맑은 고딕,Regular"&amp;P</oddFooter>
  </headerFooter>
  <rowBreaks count="3" manualBreakCount="3">
    <brk id="30" max="1048575" man="1"/>
    <brk id="64" max="1048575" man="1"/>
    <brk id="95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AG402"/>
  <sheetViews>
    <sheetView tabSelected="1" zoomScaleNormal="100" zoomScaleSheetLayoutView="75" workbookViewId="0">
      <pane ySplit="4" topLeftCell="A5" activePane="bottomLeft" state="frozen"/>
      <selection pane="bottomLeft" activeCell="AF17" sqref="AF17"/>
    </sheetView>
  </sheetViews>
  <sheetFormatPr defaultColWidth="9" defaultRowHeight="17.25"/>
  <cols>
    <col min="1" max="1" width="7.125" style="32" customWidth="1"/>
    <col min="2" max="2" width="8.625" style="30" customWidth="1"/>
    <col min="3" max="3" width="13.625" style="30" customWidth="1"/>
    <col min="4" max="4" width="13.125" style="31" customWidth="1"/>
    <col min="5" max="5" width="13.125" style="32" customWidth="1"/>
    <col min="6" max="6" width="13.125" style="32" hidden="1" customWidth="1"/>
    <col min="7" max="7" width="10.625" style="33" customWidth="1"/>
    <col min="8" max="8" width="8.625" style="34" customWidth="1"/>
    <col min="9" max="9" width="21.625" style="35" customWidth="1"/>
    <col min="10" max="10" width="13.5" style="36" customWidth="1"/>
    <col min="11" max="11" width="3.125" style="37" customWidth="1"/>
    <col min="12" max="12" width="3.125" style="38" customWidth="1"/>
    <col min="13" max="13" width="5.375" style="38" bestFit="1" customWidth="1"/>
    <col min="14" max="15" width="3.125" style="38" customWidth="1"/>
    <col min="16" max="16" width="15.375" style="36" customWidth="1"/>
    <col min="17" max="17" width="3.625" style="37" customWidth="1"/>
    <col min="18" max="29" width="12.5" style="39" hidden="1" customWidth="1"/>
    <col min="30" max="30" width="13.625" style="40" bestFit="1" customWidth="1"/>
    <col min="31" max="31" width="13.125" style="41" customWidth="1"/>
    <col min="32" max="32" width="12.625" style="41" customWidth="1"/>
    <col min="33" max="33" width="12.625" style="39" customWidth="1"/>
    <col min="34" max="16384" width="9" style="39"/>
  </cols>
  <sheetData>
    <row r="1" spans="1:32" ht="20.25">
      <c r="A1" s="29" t="s">
        <v>178</v>
      </c>
      <c r="B1" s="29"/>
    </row>
    <row r="2" spans="1:32" ht="12.75" customHeight="1" thickBot="1">
      <c r="A2" s="42"/>
      <c r="B2" s="42"/>
      <c r="C2" s="43"/>
      <c r="D2" s="44"/>
      <c r="E2" s="45"/>
      <c r="F2" s="45"/>
      <c r="G2" s="46"/>
      <c r="H2" s="47"/>
      <c r="I2" s="43" t="s">
        <v>505</v>
      </c>
      <c r="J2" s="45"/>
      <c r="K2" s="43"/>
      <c r="L2" s="43"/>
      <c r="M2" s="43"/>
      <c r="N2" s="43"/>
      <c r="O2" s="48" t="s">
        <v>289</v>
      </c>
      <c r="P2" s="48"/>
      <c r="Q2" s="48"/>
    </row>
    <row r="3" spans="1:32" ht="17.25" customHeight="1">
      <c r="A3" s="49" t="s">
        <v>476</v>
      </c>
      <c r="B3" s="50" t="s">
        <v>477</v>
      </c>
      <c r="C3" s="51" t="s">
        <v>461</v>
      </c>
      <c r="D3" s="52" t="s">
        <v>248</v>
      </c>
      <c r="E3" s="52" t="s">
        <v>254</v>
      </c>
      <c r="F3" s="53" t="s">
        <v>309</v>
      </c>
      <c r="G3" s="54" t="s">
        <v>35</v>
      </c>
      <c r="H3" s="54"/>
      <c r="I3" s="51" t="s">
        <v>570</v>
      </c>
      <c r="J3" s="51"/>
      <c r="K3" s="51"/>
      <c r="L3" s="51"/>
      <c r="M3" s="51"/>
      <c r="N3" s="51"/>
      <c r="O3" s="51"/>
      <c r="P3" s="51"/>
      <c r="Q3" s="51"/>
    </row>
    <row r="4" spans="1:32" ht="20.25" customHeight="1" thickBot="1">
      <c r="A4" s="55"/>
      <c r="B4" s="56"/>
      <c r="C4" s="57"/>
      <c r="D4" s="58"/>
      <c r="E4" s="58"/>
      <c r="F4" s="59"/>
      <c r="G4" s="60" t="s">
        <v>466</v>
      </c>
      <c r="H4" s="61" t="s">
        <v>501</v>
      </c>
      <c r="I4" s="57"/>
      <c r="J4" s="57"/>
      <c r="K4" s="57"/>
      <c r="L4" s="57"/>
      <c r="M4" s="57"/>
      <c r="N4" s="57"/>
      <c r="O4" s="57"/>
      <c r="P4" s="57"/>
      <c r="Q4" s="57"/>
    </row>
    <row r="5" spans="1:32" ht="24.95" customHeight="1" thickBot="1">
      <c r="A5" s="62" t="s">
        <v>487</v>
      </c>
      <c r="B5" s="63"/>
      <c r="C5" s="64"/>
      <c r="D5" s="65">
        <f>SUM(D6,D78,D86,D282,D277,D383,D272)</f>
        <v>8970923.7419509999</v>
      </c>
      <c r="E5" s="66">
        <f>SUM(E6,E78,E86,E282,E277,E383,E272)</f>
        <v>8953154.8066649996</v>
      </c>
      <c r="F5" s="67" t="e">
        <f>SUM(F6,F78,F86,F282,F277,F383)</f>
        <v>#REF!</v>
      </c>
      <c r="G5" s="68">
        <f>+E5-D5</f>
        <v>-17768.935286000371</v>
      </c>
      <c r="H5" s="69">
        <f t="shared" ref="H5:H37" si="0">+G5/D5*100</f>
        <v>-0.1980725262762737</v>
      </c>
      <c r="I5" s="70"/>
      <c r="J5" s="71"/>
      <c r="K5" s="72"/>
      <c r="L5" s="72"/>
      <c r="M5" s="71"/>
      <c r="N5" s="71"/>
      <c r="O5" s="73"/>
      <c r="P5" s="74">
        <f>SUM(P6,P78,P86,P282,P277,P383,P272)</f>
        <v>8953154806.6650009</v>
      </c>
      <c r="Q5" s="75" t="s">
        <v>468</v>
      </c>
    </row>
    <row r="6" spans="1:32" ht="20.100000000000001" customHeight="1" thickTop="1" thickBot="1">
      <c r="A6" s="76" t="s">
        <v>458</v>
      </c>
      <c r="B6" s="77" t="s">
        <v>484</v>
      </c>
      <c r="C6" s="78"/>
      <c r="D6" s="79">
        <f>SUM(D7,D36,D49)</f>
        <v>1376904</v>
      </c>
      <c r="E6" s="80">
        <f>SUM(E7,E36,E49)+1</f>
        <v>1395904.3397349999</v>
      </c>
      <c r="F6" s="81">
        <f>SUM(F7,F36,F49)</f>
        <v>869305</v>
      </c>
      <c r="G6" s="82">
        <f>+E6-D6</f>
        <v>19000.339734999929</v>
      </c>
      <c r="H6" s="83">
        <f t="shared" si="0"/>
        <v>1.3799320602598242</v>
      </c>
      <c r="I6" s="84"/>
      <c r="J6" s="85"/>
      <c r="K6" s="86"/>
      <c r="L6" s="87"/>
      <c r="M6" s="87"/>
      <c r="N6" s="87"/>
      <c r="O6" s="87"/>
      <c r="P6" s="88">
        <f>SUM(P7,P36,P49)</f>
        <v>1395904339.7350001</v>
      </c>
      <c r="Q6" s="89" t="s">
        <v>468</v>
      </c>
    </row>
    <row r="7" spans="1:32" ht="20.100000000000001" customHeight="1" thickTop="1" thickBot="1">
      <c r="A7" s="90"/>
      <c r="B7" s="91" t="s">
        <v>463</v>
      </c>
      <c r="C7" s="92" t="s">
        <v>459</v>
      </c>
      <c r="D7" s="93">
        <f>SUM(D8:D34)</f>
        <v>1054404</v>
      </c>
      <c r="E7" s="94">
        <f>SUM(E8:E34)</f>
        <v>1053803.8397349999</v>
      </c>
      <c r="F7" s="95">
        <f>SUM(F8:F34)-1</f>
        <v>582084</v>
      </c>
      <c r="G7" s="96">
        <f>+E7-D7</f>
        <v>-600.16026500007138</v>
      </c>
      <c r="H7" s="97">
        <f t="shared" si="0"/>
        <v>-5.6919384315696014E-2</v>
      </c>
      <c r="I7" s="98"/>
      <c r="J7" s="99"/>
      <c r="K7" s="100"/>
      <c r="L7" s="101"/>
      <c r="M7" s="101"/>
      <c r="N7" s="101"/>
      <c r="O7" s="101"/>
      <c r="P7" s="99">
        <f>SUM(P8,P13,P21,P23,P29)</f>
        <v>1053803839.735</v>
      </c>
      <c r="Q7" s="102" t="s">
        <v>468</v>
      </c>
      <c r="R7" s="103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</row>
    <row r="8" spans="1:32" ht="15.95" customHeight="1" thickTop="1" thickBot="1">
      <c r="A8" s="90"/>
      <c r="B8" s="104"/>
      <c r="C8" s="105" t="s">
        <v>478</v>
      </c>
      <c r="D8" s="106">
        <v>749704</v>
      </c>
      <c r="E8" s="107">
        <f>P8/1000</f>
        <v>749703.89989500004</v>
      </c>
      <c r="F8" s="108">
        <v>351377</v>
      </c>
      <c r="G8" s="107">
        <f>E8-D8</f>
        <v>-0.10010499996133149</v>
      </c>
      <c r="H8" s="109">
        <f t="shared" si="0"/>
        <v>-1.3352603155556257E-5</v>
      </c>
      <c r="I8" s="110"/>
      <c r="J8" s="111"/>
      <c r="K8" s="112"/>
      <c r="L8" s="113"/>
      <c r="M8" s="113" t="s">
        <v>473</v>
      </c>
      <c r="N8" s="113"/>
      <c r="O8" s="113"/>
      <c r="P8" s="111">
        <f>SUM(P9:P12)</f>
        <v>749703899.89499998</v>
      </c>
      <c r="Q8" s="114" t="s">
        <v>468</v>
      </c>
      <c r="R8" s="40"/>
      <c r="S8" s="115"/>
      <c r="T8" s="40"/>
      <c r="U8" s="40"/>
      <c r="V8" s="40"/>
      <c r="W8" s="40"/>
      <c r="X8" s="40"/>
      <c r="Y8" s="40"/>
      <c r="Z8" s="40"/>
      <c r="AA8" s="40"/>
      <c r="AB8" s="40"/>
      <c r="AC8" s="40"/>
    </row>
    <row r="9" spans="1:32" ht="15.95" customHeight="1">
      <c r="A9" s="90"/>
      <c r="B9" s="104"/>
      <c r="C9" s="116"/>
      <c r="D9" s="117"/>
      <c r="E9" s="118"/>
      <c r="F9" s="119"/>
      <c r="G9" s="118"/>
      <c r="H9" s="120"/>
      <c r="I9" s="121" t="s">
        <v>510</v>
      </c>
      <c r="J9" s="99">
        <v>35913166.659999996</v>
      </c>
      <c r="K9" s="100" t="s">
        <v>468</v>
      </c>
      <c r="L9" s="122" t="s">
        <v>469</v>
      </c>
      <c r="M9" s="101">
        <v>12</v>
      </c>
      <c r="N9" s="101" t="s">
        <v>472</v>
      </c>
      <c r="O9" s="123" t="s">
        <v>460</v>
      </c>
      <c r="P9" s="124">
        <f>J9*M9</f>
        <v>430957999.91999996</v>
      </c>
      <c r="Q9" s="125" t="s">
        <v>468</v>
      </c>
      <c r="R9" s="40"/>
      <c r="S9" s="126"/>
      <c r="T9" s="40"/>
      <c r="U9" s="40"/>
      <c r="V9" s="40"/>
      <c r="W9" s="40"/>
      <c r="X9" s="40"/>
      <c r="Y9" s="40"/>
      <c r="Z9" s="40"/>
      <c r="AA9" s="40"/>
      <c r="AB9" s="40"/>
      <c r="AC9" s="40"/>
    </row>
    <row r="10" spans="1:32" ht="15.95" customHeight="1">
      <c r="A10" s="90"/>
      <c r="B10" s="104"/>
      <c r="C10" s="116"/>
      <c r="D10" s="117"/>
      <c r="E10" s="118"/>
      <c r="F10" s="119"/>
      <c r="G10" s="118"/>
      <c r="H10" s="120"/>
      <c r="I10" s="121" t="s">
        <v>110</v>
      </c>
      <c r="J10" s="99">
        <v>35921555.549999997</v>
      </c>
      <c r="K10" s="100" t="s">
        <v>468</v>
      </c>
      <c r="L10" s="122" t="s">
        <v>469</v>
      </c>
      <c r="M10" s="101">
        <v>4.5</v>
      </c>
      <c r="N10" s="101" t="s">
        <v>467</v>
      </c>
      <c r="O10" s="123" t="s">
        <v>460</v>
      </c>
      <c r="P10" s="99">
        <f>J10*M10</f>
        <v>161646999.97499999</v>
      </c>
      <c r="Q10" s="125" t="s">
        <v>468</v>
      </c>
      <c r="R10" s="40"/>
      <c r="S10" s="126"/>
      <c r="T10" s="40"/>
      <c r="U10" s="40"/>
      <c r="V10" s="40"/>
      <c r="W10" s="40"/>
      <c r="X10" s="40"/>
      <c r="Y10" s="40"/>
      <c r="Z10" s="40"/>
      <c r="AA10" s="40"/>
      <c r="AB10" s="40"/>
      <c r="AC10" s="40"/>
    </row>
    <row r="11" spans="1:32" ht="15.95" customHeight="1">
      <c r="A11" s="90"/>
      <c r="B11" s="104"/>
      <c r="C11" s="116"/>
      <c r="D11" s="117"/>
      <c r="E11" s="118"/>
      <c r="F11" s="127"/>
      <c r="G11" s="118"/>
      <c r="H11" s="120"/>
      <c r="I11" s="121" t="s">
        <v>23</v>
      </c>
      <c r="J11" s="99">
        <v>35714450</v>
      </c>
      <c r="K11" s="100" t="s">
        <v>468</v>
      </c>
      <c r="L11" s="122" t="s">
        <v>469</v>
      </c>
      <c r="M11" s="101">
        <v>2</v>
      </c>
      <c r="N11" s="101" t="s">
        <v>467</v>
      </c>
      <c r="O11" s="123" t="s">
        <v>460</v>
      </c>
      <c r="P11" s="99">
        <f>J11*M11</f>
        <v>71428900</v>
      </c>
      <c r="Q11" s="125" t="s">
        <v>468</v>
      </c>
      <c r="R11" s="40"/>
      <c r="S11" s="126"/>
      <c r="T11" s="40"/>
      <c r="U11" s="40"/>
      <c r="V11" s="40"/>
      <c r="W11" s="40"/>
      <c r="X11" s="40"/>
      <c r="Y11" s="40"/>
      <c r="Z11" s="40"/>
      <c r="AA11" s="40"/>
      <c r="AB11" s="40"/>
      <c r="AC11" s="40"/>
    </row>
    <row r="12" spans="1:32" ht="15.95" customHeight="1">
      <c r="A12" s="90"/>
      <c r="B12" s="104"/>
      <c r="C12" s="128"/>
      <c r="D12" s="129"/>
      <c r="E12" s="130"/>
      <c r="F12" s="119"/>
      <c r="G12" s="130"/>
      <c r="H12" s="131"/>
      <c r="I12" s="132" t="s">
        <v>311</v>
      </c>
      <c r="J12" s="99">
        <v>8567000</v>
      </c>
      <c r="K12" s="100" t="s">
        <v>468</v>
      </c>
      <c r="L12" s="122" t="s">
        <v>469</v>
      </c>
      <c r="M12" s="101">
        <v>10</v>
      </c>
      <c r="N12" s="101" t="s">
        <v>472</v>
      </c>
      <c r="O12" s="123" t="s">
        <v>460</v>
      </c>
      <c r="P12" s="99">
        <f>J12*M12</f>
        <v>85670000</v>
      </c>
      <c r="Q12" s="125" t="s">
        <v>468</v>
      </c>
      <c r="R12" s="40"/>
      <c r="S12" s="126"/>
      <c r="T12" s="40"/>
      <c r="U12" s="40"/>
      <c r="V12" s="40"/>
      <c r="W12" s="40"/>
      <c r="X12" s="40"/>
      <c r="Y12" s="40"/>
      <c r="Z12" s="40"/>
      <c r="AA12" s="40"/>
      <c r="AB12" s="40"/>
      <c r="AC12" s="40"/>
    </row>
    <row r="13" spans="1:32" s="37" customFormat="1" ht="15.95" customHeight="1">
      <c r="A13" s="133"/>
      <c r="B13" s="104"/>
      <c r="C13" s="105" t="s">
        <v>465</v>
      </c>
      <c r="D13" s="134">
        <v>121896</v>
      </c>
      <c r="E13" s="135">
        <f>+P13/1000</f>
        <v>121895.79984000001</v>
      </c>
      <c r="F13" s="136">
        <v>102644</v>
      </c>
      <c r="G13" s="107">
        <f t="shared" ref="G13:G58" si="1">+E13-D13</f>
        <v>-0.20015999999304768</v>
      </c>
      <c r="H13" s="137">
        <f t="shared" si="0"/>
        <v>-1.6420555226836622E-4</v>
      </c>
      <c r="I13" s="110"/>
      <c r="J13" s="111"/>
      <c r="K13" s="112"/>
      <c r="L13" s="113"/>
      <c r="M13" s="138" t="s">
        <v>473</v>
      </c>
      <c r="N13" s="138"/>
      <c r="O13" s="138"/>
      <c r="P13" s="111">
        <f>SUM(P14:P20)</f>
        <v>121895799.84</v>
      </c>
      <c r="Q13" s="114" t="s">
        <v>468</v>
      </c>
      <c r="AD13" s="40"/>
      <c r="AE13" s="41"/>
      <c r="AF13" s="41"/>
    </row>
    <row r="14" spans="1:32" s="37" customFormat="1" ht="15.95" customHeight="1">
      <c r="A14" s="133"/>
      <c r="B14" s="104"/>
      <c r="C14" s="116"/>
      <c r="D14" s="139"/>
      <c r="E14" s="140"/>
      <c r="F14" s="141"/>
      <c r="G14" s="118"/>
      <c r="H14" s="142"/>
      <c r="I14" s="121" t="s">
        <v>514</v>
      </c>
      <c r="J14" s="99">
        <v>3591316.66</v>
      </c>
      <c r="K14" s="100" t="s">
        <v>468</v>
      </c>
      <c r="L14" s="122" t="s">
        <v>469</v>
      </c>
      <c r="M14" s="101">
        <v>12</v>
      </c>
      <c r="N14" s="101" t="s">
        <v>472</v>
      </c>
      <c r="O14" s="123" t="s">
        <v>460</v>
      </c>
      <c r="P14" s="99">
        <f>(J14*M14)</f>
        <v>43095799.920000002</v>
      </c>
      <c r="Q14" s="125" t="s">
        <v>468</v>
      </c>
      <c r="AD14" s="40"/>
      <c r="AE14" s="41"/>
      <c r="AF14" s="41"/>
    </row>
    <row r="15" spans="1:32" s="37" customFormat="1" ht="15.95" customHeight="1">
      <c r="A15" s="133"/>
      <c r="B15" s="104"/>
      <c r="C15" s="116"/>
      <c r="D15" s="139"/>
      <c r="E15" s="140"/>
      <c r="F15" s="141"/>
      <c r="G15" s="118"/>
      <c r="H15" s="142"/>
      <c r="I15" s="121" t="s">
        <v>493</v>
      </c>
      <c r="J15" s="99">
        <v>910000</v>
      </c>
      <c r="K15" s="100" t="s">
        <v>468</v>
      </c>
      <c r="L15" s="122" t="s">
        <v>469</v>
      </c>
      <c r="M15" s="101">
        <v>12</v>
      </c>
      <c r="N15" s="101" t="s">
        <v>472</v>
      </c>
      <c r="O15" s="123" t="s">
        <v>460</v>
      </c>
      <c r="P15" s="99">
        <f t="shared" ref="P15:P20" si="2">(J15*M15)</f>
        <v>10920000</v>
      </c>
      <c r="Q15" s="125" t="s">
        <v>468</v>
      </c>
      <c r="AD15" s="40"/>
      <c r="AE15" s="41"/>
      <c r="AF15" s="41"/>
    </row>
    <row r="16" spans="1:32" s="37" customFormat="1" ht="15.95" customHeight="1">
      <c r="A16" s="133"/>
      <c r="B16" s="104"/>
      <c r="C16" s="116"/>
      <c r="D16" s="139"/>
      <c r="E16" s="140"/>
      <c r="F16" s="141"/>
      <c r="G16" s="118"/>
      <c r="H16" s="142"/>
      <c r="I16" s="121" t="s">
        <v>511</v>
      </c>
      <c r="J16" s="99">
        <v>1840000</v>
      </c>
      <c r="K16" s="100" t="s">
        <v>468</v>
      </c>
      <c r="L16" s="122" t="s">
        <v>469</v>
      </c>
      <c r="M16" s="101">
        <v>12</v>
      </c>
      <c r="N16" s="101" t="s">
        <v>472</v>
      </c>
      <c r="O16" s="123" t="s">
        <v>460</v>
      </c>
      <c r="P16" s="99">
        <f t="shared" si="2"/>
        <v>22080000</v>
      </c>
      <c r="Q16" s="125" t="s">
        <v>468</v>
      </c>
      <c r="AD16" s="40"/>
      <c r="AE16" s="41"/>
      <c r="AF16" s="41"/>
    </row>
    <row r="17" spans="1:32" s="37" customFormat="1" ht="15.95" customHeight="1">
      <c r="A17" s="133"/>
      <c r="B17" s="104"/>
      <c r="C17" s="116"/>
      <c r="D17" s="139"/>
      <c r="E17" s="140"/>
      <c r="F17" s="141"/>
      <c r="G17" s="118"/>
      <c r="H17" s="142"/>
      <c r="I17" s="121" t="s">
        <v>503</v>
      </c>
      <c r="J17" s="99">
        <v>1366666.66</v>
      </c>
      <c r="K17" s="100" t="s">
        <v>468</v>
      </c>
      <c r="L17" s="122" t="s">
        <v>469</v>
      </c>
      <c r="M17" s="101">
        <v>12</v>
      </c>
      <c r="N17" s="101" t="s">
        <v>472</v>
      </c>
      <c r="O17" s="123" t="s">
        <v>460</v>
      </c>
      <c r="P17" s="99">
        <f t="shared" si="2"/>
        <v>16399999.919999998</v>
      </c>
      <c r="Q17" s="125" t="s">
        <v>468</v>
      </c>
      <c r="AD17" s="40"/>
      <c r="AE17" s="41"/>
      <c r="AF17" s="41"/>
    </row>
    <row r="18" spans="1:32" s="37" customFormat="1" ht="15.95" customHeight="1">
      <c r="A18" s="133"/>
      <c r="B18" s="104"/>
      <c r="C18" s="116"/>
      <c r="D18" s="139"/>
      <c r="E18" s="140"/>
      <c r="F18" s="141"/>
      <c r="G18" s="118"/>
      <c r="H18" s="142"/>
      <c r="I18" s="121" t="s">
        <v>517</v>
      </c>
      <c r="J18" s="99">
        <v>1700000</v>
      </c>
      <c r="K18" s="100" t="s">
        <v>468</v>
      </c>
      <c r="L18" s="122" t="s">
        <v>469</v>
      </c>
      <c r="M18" s="101">
        <v>12</v>
      </c>
      <c r="N18" s="101" t="s">
        <v>472</v>
      </c>
      <c r="O18" s="123" t="s">
        <v>460</v>
      </c>
      <c r="P18" s="99">
        <f t="shared" si="2"/>
        <v>20400000</v>
      </c>
      <c r="Q18" s="125" t="s">
        <v>468</v>
      </c>
      <c r="AD18" s="40"/>
      <c r="AE18" s="41"/>
      <c r="AF18" s="41"/>
    </row>
    <row r="19" spans="1:32" s="37" customFormat="1" ht="15.95" customHeight="1">
      <c r="A19" s="133"/>
      <c r="B19" s="104"/>
      <c r="C19" s="116"/>
      <c r="D19" s="139"/>
      <c r="E19" s="140"/>
      <c r="F19" s="141"/>
      <c r="G19" s="118"/>
      <c r="H19" s="142"/>
      <c r="I19" s="121" t="s">
        <v>87</v>
      </c>
      <c r="J19" s="99">
        <v>150000</v>
      </c>
      <c r="K19" s="100" t="s">
        <v>468</v>
      </c>
      <c r="L19" s="122" t="s">
        <v>469</v>
      </c>
      <c r="M19" s="101">
        <v>12</v>
      </c>
      <c r="N19" s="101" t="s">
        <v>472</v>
      </c>
      <c r="O19" s="123" t="s">
        <v>460</v>
      </c>
      <c r="P19" s="99">
        <f t="shared" si="2"/>
        <v>1800000</v>
      </c>
      <c r="Q19" s="125" t="s">
        <v>468</v>
      </c>
      <c r="AD19" s="40"/>
      <c r="AE19" s="41"/>
      <c r="AF19" s="41"/>
    </row>
    <row r="20" spans="1:32" s="37" customFormat="1" ht="15.95" customHeight="1">
      <c r="A20" s="133"/>
      <c r="B20" s="104"/>
      <c r="C20" s="116"/>
      <c r="D20" s="139"/>
      <c r="E20" s="140"/>
      <c r="F20" s="119"/>
      <c r="G20" s="118"/>
      <c r="H20" s="142"/>
      <c r="I20" s="143" t="s">
        <v>381</v>
      </c>
      <c r="J20" s="99">
        <v>3600000</v>
      </c>
      <c r="K20" s="100" t="s">
        <v>468</v>
      </c>
      <c r="L20" s="122" t="s">
        <v>469</v>
      </c>
      <c r="M20" s="101">
        <v>2</v>
      </c>
      <c r="N20" s="101" t="s">
        <v>467</v>
      </c>
      <c r="O20" s="123" t="s">
        <v>460</v>
      </c>
      <c r="P20" s="99">
        <f t="shared" si="2"/>
        <v>7200000</v>
      </c>
      <c r="Q20" s="125" t="s">
        <v>468</v>
      </c>
      <c r="AD20" s="40"/>
      <c r="AE20" s="41"/>
      <c r="AF20" s="41"/>
    </row>
    <row r="21" spans="1:32" s="37" customFormat="1" ht="15.95" customHeight="1">
      <c r="A21" s="133"/>
      <c r="B21" s="104"/>
      <c r="C21" s="105" t="s">
        <v>67</v>
      </c>
      <c r="D21" s="134">
        <v>66394</v>
      </c>
      <c r="E21" s="135">
        <f>(+P21/1000)</f>
        <v>66394.14</v>
      </c>
      <c r="F21" s="136">
        <v>48032</v>
      </c>
      <c r="G21" s="107">
        <f>E21-D21</f>
        <v>0.13999999999941792</v>
      </c>
      <c r="H21" s="137">
        <f t="shared" si="0"/>
        <v>2.1086242732689387E-4</v>
      </c>
      <c r="I21" s="144"/>
      <c r="J21" s="111"/>
      <c r="K21" s="112"/>
      <c r="L21" s="112"/>
      <c r="M21" s="138" t="s">
        <v>473</v>
      </c>
      <c r="N21" s="138"/>
      <c r="O21" s="138"/>
      <c r="P21" s="111">
        <f>SUM(P22:P22)</f>
        <v>66394140</v>
      </c>
      <c r="Q21" s="114" t="s">
        <v>468</v>
      </c>
      <c r="AD21" s="40"/>
      <c r="AE21" s="41"/>
      <c r="AF21" s="41"/>
    </row>
    <row r="22" spans="1:32" s="37" customFormat="1" ht="15.95" customHeight="1">
      <c r="A22" s="133"/>
      <c r="B22" s="104"/>
      <c r="C22" s="128"/>
      <c r="D22" s="145"/>
      <c r="E22" s="146"/>
      <c r="F22" s="147"/>
      <c r="G22" s="130">
        <f t="shared" si="1"/>
        <v>0</v>
      </c>
      <c r="H22" s="148" t="e">
        <f t="shared" si="0"/>
        <v>#DIV/0!</v>
      </c>
      <c r="I22" s="121" t="s">
        <v>67</v>
      </c>
      <c r="J22" s="99">
        <f>SUM(P8,P13,P33)-P12</f>
        <v>796729699.73500001</v>
      </c>
      <c r="K22" s="149" t="s">
        <v>468</v>
      </c>
      <c r="L22" s="101" t="s">
        <v>486</v>
      </c>
      <c r="M22" s="101">
        <v>12</v>
      </c>
      <c r="N22" s="101"/>
      <c r="O22" s="123" t="s">
        <v>460</v>
      </c>
      <c r="P22" s="99">
        <f>ROUND(J22/12,-1)</f>
        <v>66394140</v>
      </c>
      <c r="Q22" s="125" t="s">
        <v>468</v>
      </c>
      <c r="AD22" s="40"/>
      <c r="AE22" s="41"/>
      <c r="AF22" s="41"/>
    </row>
    <row r="23" spans="1:32" s="37" customFormat="1" ht="15.95" customHeight="1">
      <c r="A23" s="133"/>
      <c r="B23" s="104"/>
      <c r="C23" s="150" t="s">
        <v>541</v>
      </c>
      <c r="D23" s="151">
        <v>91810</v>
      </c>
      <c r="E23" s="152">
        <f>+P23/1000</f>
        <v>91810</v>
      </c>
      <c r="F23" s="153">
        <v>55737</v>
      </c>
      <c r="G23" s="154">
        <f t="shared" si="1"/>
        <v>0</v>
      </c>
      <c r="H23" s="155">
        <f t="shared" si="0"/>
        <v>0</v>
      </c>
      <c r="I23" s="144"/>
      <c r="J23" s="111"/>
      <c r="K23" s="112"/>
      <c r="L23" s="113"/>
      <c r="M23" s="138" t="s">
        <v>473</v>
      </c>
      <c r="N23" s="138"/>
      <c r="O23" s="138"/>
      <c r="P23" s="111">
        <f>SUM(P24:P28)</f>
        <v>91810000</v>
      </c>
      <c r="Q23" s="114" t="s">
        <v>468</v>
      </c>
      <c r="AD23" s="40"/>
      <c r="AE23" s="41"/>
      <c r="AF23" s="41"/>
    </row>
    <row r="24" spans="1:32" s="37" customFormat="1" ht="15.95" customHeight="1">
      <c r="A24" s="133"/>
      <c r="B24" s="104"/>
      <c r="C24" s="150"/>
      <c r="D24" s="151"/>
      <c r="E24" s="152"/>
      <c r="F24" s="153"/>
      <c r="G24" s="154">
        <f t="shared" si="1"/>
        <v>0</v>
      </c>
      <c r="H24" s="155" t="e">
        <f t="shared" si="0"/>
        <v>#DIV/0!</v>
      </c>
      <c r="I24" s="143" t="s">
        <v>83</v>
      </c>
      <c r="J24" s="99">
        <f>SUM(P8,P13,P33)-P18+22200000</f>
        <v>884199699.73500001</v>
      </c>
      <c r="K24" s="100" t="s">
        <v>468</v>
      </c>
      <c r="L24" s="122" t="s">
        <v>469</v>
      </c>
      <c r="M24" s="156">
        <v>4.4999999999999998E-2</v>
      </c>
      <c r="N24" s="156"/>
      <c r="O24" s="123" t="s">
        <v>460</v>
      </c>
      <c r="P24" s="99">
        <f>ROUNDUP(SUM(J24*M24),-3)</f>
        <v>39789000</v>
      </c>
      <c r="Q24" s="125" t="s">
        <v>468</v>
      </c>
      <c r="AD24" s="36"/>
      <c r="AE24" s="41"/>
      <c r="AF24" s="41"/>
    </row>
    <row r="25" spans="1:32" s="37" customFormat="1" ht="15.95" customHeight="1">
      <c r="A25" s="133"/>
      <c r="B25" s="104"/>
      <c r="C25" s="150"/>
      <c r="D25" s="151"/>
      <c r="E25" s="152"/>
      <c r="F25" s="153"/>
      <c r="G25" s="154">
        <f t="shared" si="1"/>
        <v>0</v>
      </c>
      <c r="H25" s="155" t="e">
        <f t="shared" si="0"/>
        <v>#DIV/0!</v>
      </c>
      <c r="I25" s="143" t="s">
        <v>108</v>
      </c>
      <c r="J25" s="99">
        <f>+J24</f>
        <v>884199699.73500001</v>
      </c>
      <c r="K25" s="100" t="s">
        <v>468</v>
      </c>
      <c r="L25" s="122" t="s">
        <v>469</v>
      </c>
      <c r="M25" s="157">
        <v>3.3349999999999998E-2</v>
      </c>
      <c r="N25" s="157"/>
      <c r="O25" s="101" t="s">
        <v>460</v>
      </c>
      <c r="P25" s="99">
        <f>ROUNDUP(SUM(J25*M25),-3)</f>
        <v>29489000</v>
      </c>
      <c r="Q25" s="125" t="s">
        <v>468</v>
      </c>
      <c r="AD25" s="36"/>
      <c r="AE25" s="41"/>
      <c r="AF25" s="41"/>
    </row>
    <row r="26" spans="1:32" s="37" customFormat="1" ht="15.95" customHeight="1">
      <c r="A26" s="133"/>
      <c r="B26" s="104"/>
      <c r="C26" s="150"/>
      <c r="D26" s="151"/>
      <c r="E26" s="152"/>
      <c r="F26" s="153"/>
      <c r="G26" s="154">
        <f t="shared" si="1"/>
        <v>0</v>
      </c>
      <c r="H26" s="155" t="e">
        <f t="shared" si="0"/>
        <v>#DIV/0!</v>
      </c>
      <c r="I26" s="143" t="s">
        <v>104</v>
      </c>
      <c r="J26" s="99">
        <f>+P25</f>
        <v>29489000</v>
      </c>
      <c r="K26" s="100" t="s">
        <v>468</v>
      </c>
      <c r="L26" s="122" t="s">
        <v>469</v>
      </c>
      <c r="M26" s="157">
        <v>0.10249999999999999</v>
      </c>
      <c r="N26" s="157"/>
      <c r="O26" s="101" t="s">
        <v>460</v>
      </c>
      <c r="P26" s="99">
        <f>ROUNDUP(SUM(J26*M26),-3)</f>
        <v>3023000</v>
      </c>
      <c r="Q26" s="125" t="s">
        <v>468</v>
      </c>
      <c r="AD26" s="36"/>
      <c r="AE26" s="41"/>
      <c r="AF26" s="41"/>
    </row>
    <row r="27" spans="1:32" s="37" customFormat="1" ht="15.95" customHeight="1">
      <c r="A27" s="133"/>
      <c r="B27" s="104"/>
      <c r="C27" s="150"/>
      <c r="D27" s="151"/>
      <c r="E27" s="152"/>
      <c r="F27" s="153"/>
      <c r="G27" s="154">
        <f t="shared" si="1"/>
        <v>0</v>
      </c>
      <c r="H27" s="155" t="e">
        <f t="shared" si="0"/>
        <v>#DIV/0!</v>
      </c>
      <c r="I27" s="143" t="s">
        <v>105</v>
      </c>
      <c r="J27" s="99">
        <f>SUM(P8,P13,P33)-P12-P18+22200000</f>
        <v>798529699.73500001</v>
      </c>
      <c r="K27" s="100" t="s">
        <v>468</v>
      </c>
      <c r="L27" s="122" t="s">
        <v>469</v>
      </c>
      <c r="M27" s="157">
        <v>1.6500000000000001E-2</v>
      </c>
      <c r="N27" s="157"/>
      <c r="O27" s="101" t="s">
        <v>460</v>
      </c>
      <c r="P27" s="99">
        <f>ROUNDUP(SUM(J27*M27),-3)</f>
        <v>13176000</v>
      </c>
      <c r="Q27" s="125" t="s">
        <v>468</v>
      </c>
      <c r="AD27" s="36"/>
      <c r="AE27" s="41"/>
      <c r="AF27" s="41"/>
    </row>
    <row r="28" spans="1:32" s="37" customFormat="1" ht="15.95" customHeight="1">
      <c r="A28" s="133"/>
      <c r="B28" s="104"/>
      <c r="C28" s="150"/>
      <c r="D28" s="151"/>
      <c r="E28" s="152"/>
      <c r="F28" s="153"/>
      <c r="G28" s="154">
        <f t="shared" si="1"/>
        <v>0</v>
      </c>
      <c r="H28" s="155" t="e">
        <f t="shared" si="0"/>
        <v>#DIV/0!</v>
      </c>
      <c r="I28" s="158" t="s">
        <v>85</v>
      </c>
      <c r="J28" s="159">
        <f>J27</f>
        <v>798529699.73500001</v>
      </c>
      <c r="K28" s="160" t="s">
        <v>468</v>
      </c>
      <c r="L28" s="161" t="s">
        <v>469</v>
      </c>
      <c r="M28" s="162">
        <v>7.9299999999999995E-3</v>
      </c>
      <c r="N28" s="162"/>
      <c r="O28" s="163" t="s">
        <v>460</v>
      </c>
      <c r="P28" s="159">
        <f>ROUNDUP(SUM(J28*M28),-3)</f>
        <v>6333000</v>
      </c>
      <c r="Q28" s="164" t="s">
        <v>468</v>
      </c>
      <c r="AD28" s="36"/>
      <c r="AE28" s="41"/>
      <c r="AF28" s="41"/>
    </row>
    <row r="29" spans="1:32" s="37" customFormat="1" ht="15.95" customHeight="1">
      <c r="A29" s="133" t="s">
        <v>505</v>
      </c>
      <c r="B29" s="104"/>
      <c r="C29" s="105" t="s">
        <v>128</v>
      </c>
      <c r="D29" s="134">
        <v>24600</v>
      </c>
      <c r="E29" s="135">
        <f>+P29/1000</f>
        <v>24000</v>
      </c>
      <c r="F29" s="153">
        <v>24295</v>
      </c>
      <c r="G29" s="107">
        <f>+E29-D29</f>
        <v>-600</v>
      </c>
      <c r="H29" s="137">
        <f t="shared" si="0"/>
        <v>-2.4390243902439024</v>
      </c>
      <c r="I29" s="144"/>
      <c r="J29" s="111"/>
      <c r="K29" s="112"/>
      <c r="L29" s="113"/>
      <c r="M29" s="113" t="s">
        <v>473</v>
      </c>
      <c r="N29" s="113"/>
      <c r="O29" s="113"/>
      <c r="P29" s="111">
        <f>SUM(P30:P35)</f>
        <v>24000000</v>
      </c>
      <c r="Q29" s="114" t="s">
        <v>468</v>
      </c>
      <c r="AD29" s="36"/>
      <c r="AE29" s="41"/>
      <c r="AF29" s="41"/>
    </row>
    <row r="30" spans="1:32" s="37" customFormat="1" ht="15.95" customHeight="1">
      <c r="A30" s="133"/>
      <c r="B30" s="104"/>
      <c r="C30" s="116"/>
      <c r="D30" s="139"/>
      <c r="E30" s="140"/>
      <c r="F30" s="153"/>
      <c r="G30" s="118"/>
      <c r="H30" s="142"/>
      <c r="I30" s="143" t="s">
        <v>25</v>
      </c>
      <c r="J30" s="99">
        <v>2000000</v>
      </c>
      <c r="K30" s="100" t="s">
        <v>468</v>
      </c>
      <c r="L30" s="122" t="s">
        <v>469</v>
      </c>
      <c r="M30" s="101">
        <v>1</v>
      </c>
      <c r="N30" s="101" t="s">
        <v>467</v>
      </c>
      <c r="O30" s="123" t="s">
        <v>460</v>
      </c>
      <c r="P30" s="99">
        <f>SUM(J30*M30)</f>
        <v>2000000</v>
      </c>
      <c r="Q30" s="125" t="s">
        <v>468</v>
      </c>
      <c r="AD30" s="36"/>
      <c r="AE30" s="41"/>
      <c r="AF30" s="41"/>
    </row>
    <row r="31" spans="1:32" s="37" customFormat="1" ht="15.95" customHeight="1">
      <c r="A31" s="133"/>
      <c r="B31" s="104"/>
      <c r="C31" s="116"/>
      <c r="D31" s="139"/>
      <c r="E31" s="140"/>
      <c r="F31" s="153"/>
      <c r="G31" s="118"/>
      <c r="H31" s="142"/>
      <c r="I31" s="143" t="s">
        <v>109</v>
      </c>
      <c r="J31" s="99">
        <v>600000</v>
      </c>
      <c r="K31" s="100" t="s">
        <v>468</v>
      </c>
      <c r="L31" s="122" t="s">
        <v>469</v>
      </c>
      <c r="M31" s="101">
        <v>16</v>
      </c>
      <c r="N31" s="101" t="s">
        <v>506</v>
      </c>
      <c r="O31" s="123" t="s">
        <v>460</v>
      </c>
      <c r="P31" s="99">
        <f>SUM(J31*M31)</f>
        <v>9600000</v>
      </c>
      <c r="Q31" s="125" t="s">
        <v>468</v>
      </c>
      <c r="AD31" s="36"/>
      <c r="AE31" s="41"/>
      <c r="AF31" s="41"/>
    </row>
    <row r="32" spans="1:32" s="37" customFormat="1" ht="15.95" customHeight="1">
      <c r="A32" s="133"/>
      <c r="B32" s="104"/>
      <c r="C32" s="116"/>
      <c r="D32" s="139"/>
      <c r="E32" s="140"/>
      <c r="F32" s="153"/>
      <c r="G32" s="118"/>
      <c r="H32" s="142"/>
      <c r="I32" s="143" t="s">
        <v>156</v>
      </c>
      <c r="J32" s="99">
        <v>50000</v>
      </c>
      <c r="K32" s="100" t="s">
        <v>468</v>
      </c>
      <c r="L32" s="122" t="s">
        <v>469</v>
      </c>
      <c r="M32" s="101">
        <v>4</v>
      </c>
      <c r="N32" s="101" t="s">
        <v>467</v>
      </c>
      <c r="O32" s="123" t="s">
        <v>460</v>
      </c>
      <c r="P32" s="99">
        <f>+J32*M32</f>
        <v>200000</v>
      </c>
      <c r="Q32" s="125" t="s">
        <v>468</v>
      </c>
      <c r="AD32" s="36"/>
      <c r="AE32" s="41"/>
      <c r="AF32" s="41"/>
    </row>
    <row r="33" spans="1:32" s="37" customFormat="1" ht="15.95" customHeight="1">
      <c r="A33" s="133"/>
      <c r="B33" s="104"/>
      <c r="C33" s="116"/>
      <c r="D33" s="139"/>
      <c r="E33" s="140"/>
      <c r="F33" s="153"/>
      <c r="G33" s="118"/>
      <c r="H33" s="142"/>
      <c r="I33" s="143" t="s">
        <v>258</v>
      </c>
      <c r="J33" s="99">
        <v>3600000</v>
      </c>
      <c r="K33" s="100" t="s">
        <v>468</v>
      </c>
      <c r="L33" s="122" t="s">
        <v>469</v>
      </c>
      <c r="M33" s="101">
        <v>3</v>
      </c>
      <c r="N33" s="101" t="s">
        <v>467</v>
      </c>
      <c r="O33" s="123" t="s">
        <v>460</v>
      </c>
      <c r="P33" s="99">
        <f>+J33*M33</f>
        <v>10800000</v>
      </c>
      <c r="Q33" s="125" t="s">
        <v>468</v>
      </c>
      <c r="AD33" s="36"/>
      <c r="AE33" s="41"/>
      <c r="AF33" s="41"/>
    </row>
    <row r="34" spans="1:32" s="37" customFormat="1" ht="15.95" customHeight="1" thickBot="1">
      <c r="A34" s="133"/>
      <c r="B34" s="104"/>
      <c r="C34" s="116"/>
      <c r="D34" s="139"/>
      <c r="E34" s="140"/>
      <c r="F34" s="165"/>
      <c r="G34" s="118"/>
      <c r="H34" s="142"/>
      <c r="I34" s="143" t="s">
        <v>21</v>
      </c>
      <c r="J34" s="99">
        <v>500000</v>
      </c>
      <c r="K34" s="100" t="s">
        <v>468</v>
      </c>
      <c r="L34" s="122" t="s">
        <v>469</v>
      </c>
      <c r="M34" s="101">
        <v>1</v>
      </c>
      <c r="N34" s="101" t="s">
        <v>467</v>
      </c>
      <c r="O34" s="123" t="s">
        <v>460</v>
      </c>
      <c r="P34" s="99">
        <f>+J34*M34</f>
        <v>500000</v>
      </c>
      <c r="Q34" s="125" t="s">
        <v>468</v>
      </c>
      <c r="AD34" s="36"/>
      <c r="AE34" s="41"/>
      <c r="AF34" s="41"/>
    </row>
    <row r="35" spans="1:32" s="37" customFormat="1" ht="15.95" customHeight="1">
      <c r="A35" s="133"/>
      <c r="B35" s="166"/>
      <c r="C35" s="128"/>
      <c r="D35" s="145"/>
      <c r="E35" s="146"/>
      <c r="F35" s="127"/>
      <c r="G35" s="130"/>
      <c r="H35" s="148"/>
      <c r="I35" s="158" t="s">
        <v>158</v>
      </c>
      <c r="J35" s="159">
        <v>300000</v>
      </c>
      <c r="K35" s="160" t="s">
        <v>468</v>
      </c>
      <c r="L35" s="161" t="s">
        <v>469</v>
      </c>
      <c r="M35" s="163">
        <v>3</v>
      </c>
      <c r="N35" s="163" t="s">
        <v>467</v>
      </c>
      <c r="O35" s="167" t="s">
        <v>460</v>
      </c>
      <c r="P35" s="159">
        <f>+J35*M35</f>
        <v>900000</v>
      </c>
      <c r="Q35" s="164" t="s">
        <v>468</v>
      </c>
      <c r="AD35" s="36"/>
      <c r="AE35" s="41"/>
      <c r="AF35" s="41"/>
    </row>
    <row r="36" spans="1:32" s="37" customFormat="1" ht="20.100000000000001" customHeight="1">
      <c r="A36" s="76" t="s">
        <v>458</v>
      </c>
      <c r="B36" s="168" t="s">
        <v>481</v>
      </c>
      <c r="C36" s="92" t="s">
        <v>459</v>
      </c>
      <c r="D36" s="93">
        <f>SUM(D37,D40,D43)</f>
        <v>20450</v>
      </c>
      <c r="E36" s="94">
        <f>SUM(E37:E48)</f>
        <v>17050</v>
      </c>
      <c r="F36" s="95">
        <f>SUM(F37,F43)</f>
        <v>12549</v>
      </c>
      <c r="G36" s="96">
        <f t="shared" si="1"/>
        <v>-3400</v>
      </c>
      <c r="H36" s="97">
        <f t="shared" si="0"/>
        <v>-16.625916870415647</v>
      </c>
      <c r="I36" s="169"/>
      <c r="J36" s="99"/>
      <c r="K36" s="100"/>
      <c r="L36" s="101"/>
      <c r="M36" s="101"/>
      <c r="N36" s="101"/>
      <c r="O36" s="101"/>
      <c r="P36" s="99">
        <f>SUM(P37,P40,P43)</f>
        <v>17050000</v>
      </c>
      <c r="Q36" s="125" t="s">
        <v>468</v>
      </c>
      <c r="AD36" s="36"/>
      <c r="AE36" s="41"/>
      <c r="AF36" s="41"/>
    </row>
    <row r="37" spans="1:32" s="37" customFormat="1" ht="15.95" customHeight="1">
      <c r="A37" s="133"/>
      <c r="B37" s="91" t="s">
        <v>471</v>
      </c>
      <c r="C37" s="170" t="s">
        <v>6</v>
      </c>
      <c r="D37" s="134">
        <v>2750</v>
      </c>
      <c r="E37" s="135">
        <f>+P37/1000</f>
        <v>2750</v>
      </c>
      <c r="F37" s="136">
        <v>9823</v>
      </c>
      <c r="G37" s="107">
        <f t="shared" si="1"/>
        <v>0</v>
      </c>
      <c r="H37" s="137">
        <f t="shared" si="0"/>
        <v>0</v>
      </c>
      <c r="I37" s="171"/>
      <c r="J37" s="111"/>
      <c r="K37" s="112"/>
      <c r="L37" s="113"/>
      <c r="M37" s="138" t="s">
        <v>473</v>
      </c>
      <c r="N37" s="138"/>
      <c r="O37" s="138"/>
      <c r="P37" s="111">
        <f>SUM(P38:P39)</f>
        <v>2750000</v>
      </c>
      <c r="Q37" s="114" t="s">
        <v>468</v>
      </c>
      <c r="AD37" s="36"/>
      <c r="AE37" s="41"/>
      <c r="AF37" s="41"/>
    </row>
    <row r="38" spans="1:32" s="37" customFormat="1" ht="15.95" customHeight="1">
      <c r="A38" s="133"/>
      <c r="B38" s="104"/>
      <c r="C38" s="172"/>
      <c r="D38" s="139"/>
      <c r="E38" s="140"/>
      <c r="F38" s="141"/>
      <c r="G38" s="118">
        <f t="shared" si="1"/>
        <v>0</v>
      </c>
      <c r="H38" s="142" t="e">
        <f>+G38/D38*100</f>
        <v>#DIV/0!</v>
      </c>
      <c r="I38" s="173" t="s">
        <v>3</v>
      </c>
      <c r="J38" s="99">
        <v>200000</v>
      </c>
      <c r="K38" s="100" t="s">
        <v>468</v>
      </c>
      <c r="L38" s="122" t="s">
        <v>469</v>
      </c>
      <c r="M38" s="101">
        <v>12</v>
      </c>
      <c r="N38" s="101" t="s">
        <v>472</v>
      </c>
      <c r="O38" s="123" t="s">
        <v>460</v>
      </c>
      <c r="P38" s="99">
        <f>SUM(J38*M38)</f>
        <v>2400000</v>
      </c>
      <c r="Q38" s="125" t="s">
        <v>468</v>
      </c>
      <c r="AD38" s="36"/>
      <c r="AE38" s="41"/>
      <c r="AF38" s="41"/>
    </row>
    <row r="39" spans="1:32" s="37" customFormat="1" ht="15.95" customHeight="1">
      <c r="A39" s="133"/>
      <c r="B39" s="104"/>
      <c r="C39" s="174"/>
      <c r="D39" s="145"/>
      <c r="E39" s="146"/>
      <c r="F39" s="147"/>
      <c r="G39" s="130">
        <f t="shared" si="1"/>
        <v>0</v>
      </c>
      <c r="H39" s="148" t="e">
        <f>+G39/D39*100</f>
        <v>#DIV/0!</v>
      </c>
      <c r="I39" s="175" t="s">
        <v>15</v>
      </c>
      <c r="J39" s="159">
        <v>350000</v>
      </c>
      <c r="K39" s="160" t="s">
        <v>468</v>
      </c>
      <c r="L39" s="161" t="s">
        <v>469</v>
      </c>
      <c r="M39" s="163">
        <v>1</v>
      </c>
      <c r="N39" s="163" t="s">
        <v>467</v>
      </c>
      <c r="O39" s="167" t="s">
        <v>460</v>
      </c>
      <c r="P39" s="159">
        <f>SUM(J39*M39)</f>
        <v>350000</v>
      </c>
      <c r="Q39" s="164" t="s">
        <v>468</v>
      </c>
      <c r="AD39" s="36"/>
      <c r="AE39" s="41"/>
      <c r="AF39" s="41"/>
    </row>
    <row r="40" spans="1:32" s="37" customFormat="1" ht="15.95" customHeight="1">
      <c r="A40" s="176"/>
      <c r="B40" s="91"/>
      <c r="C40" s="105" t="s">
        <v>98</v>
      </c>
      <c r="D40" s="134">
        <v>2600</v>
      </c>
      <c r="E40" s="135">
        <f>P40/1000</f>
        <v>2600</v>
      </c>
      <c r="F40" s="108"/>
      <c r="G40" s="107">
        <f>E40-D40</f>
        <v>0</v>
      </c>
      <c r="H40" s="137">
        <f>G40/D40*100</f>
        <v>0</v>
      </c>
      <c r="I40" s="177"/>
      <c r="J40" s="111"/>
      <c r="K40" s="112"/>
      <c r="L40" s="113"/>
      <c r="M40" s="138" t="s">
        <v>473</v>
      </c>
      <c r="N40" s="138"/>
      <c r="O40" s="138"/>
      <c r="P40" s="111">
        <f>SUM(P41:P42)</f>
        <v>2600000</v>
      </c>
      <c r="Q40" s="114" t="s">
        <v>468</v>
      </c>
      <c r="AD40" s="36"/>
      <c r="AE40" s="41"/>
      <c r="AF40" s="41"/>
    </row>
    <row r="41" spans="1:32" s="37" customFormat="1" ht="15.95" customHeight="1">
      <c r="A41" s="133"/>
      <c r="B41" s="91"/>
      <c r="C41" s="116"/>
      <c r="D41" s="139"/>
      <c r="E41" s="140"/>
      <c r="F41" s="119"/>
      <c r="G41" s="118"/>
      <c r="H41" s="142"/>
      <c r="I41" s="173" t="s">
        <v>352</v>
      </c>
      <c r="J41" s="99">
        <v>250000</v>
      </c>
      <c r="K41" s="100" t="s">
        <v>468</v>
      </c>
      <c r="L41" s="122" t="s">
        <v>469</v>
      </c>
      <c r="M41" s="101">
        <v>4</v>
      </c>
      <c r="N41" s="101" t="s">
        <v>467</v>
      </c>
      <c r="O41" s="123" t="s">
        <v>460</v>
      </c>
      <c r="P41" s="99">
        <f>SUM(J41*M41)</f>
        <v>1000000</v>
      </c>
      <c r="Q41" s="125" t="s">
        <v>468</v>
      </c>
      <c r="AD41" s="36"/>
      <c r="AE41" s="41"/>
      <c r="AF41" s="41"/>
    </row>
    <row r="42" spans="1:32" s="37" customFormat="1" ht="15.95" customHeight="1">
      <c r="A42" s="133"/>
      <c r="B42" s="104"/>
      <c r="C42" s="128"/>
      <c r="D42" s="145"/>
      <c r="E42" s="146"/>
      <c r="F42" s="119"/>
      <c r="G42" s="130"/>
      <c r="H42" s="148"/>
      <c r="I42" s="173" t="s">
        <v>377</v>
      </c>
      <c r="J42" s="99">
        <v>200000</v>
      </c>
      <c r="K42" s="100" t="s">
        <v>468</v>
      </c>
      <c r="L42" s="122" t="s">
        <v>469</v>
      </c>
      <c r="M42" s="101">
        <v>8</v>
      </c>
      <c r="N42" s="101" t="s">
        <v>467</v>
      </c>
      <c r="O42" s="123" t="s">
        <v>460</v>
      </c>
      <c r="P42" s="99">
        <f>SUM(J42*M42)</f>
        <v>1600000</v>
      </c>
      <c r="Q42" s="125" t="s">
        <v>468</v>
      </c>
      <c r="AD42" s="36"/>
      <c r="AE42" s="41"/>
      <c r="AF42" s="41"/>
    </row>
    <row r="43" spans="1:32" s="37" customFormat="1" ht="15.95" customHeight="1">
      <c r="A43" s="133"/>
      <c r="B43" s="104"/>
      <c r="C43" s="170" t="s">
        <v>480</v>
      </c>
      <c r="D43" s="134">
        <v>15100</v>
      </c>
      <c r="E43" s="135">
        <f>+P43/1000</f>
        <v>11700</v>
      </c>
      <c r="F43" s="136">
        <v>2726</v>
      </c>
      <c r="G43" s="107">
        <f t="shared" si="1"/>
        <v>-3400</v>
      </c>
      <c r="H43" s="137">
        <f>+G43/D43*100</f>
        <v>-22.516556291390728</v>
      </c>
      <c r="I43" s="171"/>
      <c r="J43" s="111"/>
      <c r="K43" s="112"/>
      <c r="L43" s="113"/>
      <c r="M43" s="138" t="s">
        <v>473</v>
      </c>
      <c r="N43" s="138"/>
      <c r="O43" s="138"/>
      <c r="P43" s="111">
        <f>SUM(P44:P48)</f>
        <v>11700000</v>
      </c>
      <c r="Q43" s="114" t="s">
        <v>468</v>
      </c>
      <c r="AD43" s="36"/>
      <c r="AE43" s="41"/>
      <c r="AF43" s="41"/>
    </row>
    <row r="44" spans="1:32" s="37" customFormat="1" ht="15.95" customHeight="1">
      <c r="A44" s="133"/>
      <c r="B44" s="104"/>
      <c r="C44" s="172"/>
      <c r="D44" s="139"/>
      <c r="E44" s="140"/>
      <c r="F44" s="141"/>
      <c r="G44" s="118">
        <f t="shared" si="1"/>
        <v>0</v>
      </c>
      <c r="H44" s="142" t="e">
        <f>+G44/D44*100</f>
        <v>#DIV/0!</v>
      </c>
      <c r="I44" s="173" t="s">
        <v>527</v>
      </c>
      <c r="J44" s="99">
        <v>300000</v>
      </c>
      <c r="K44" s="100" t="s">
        <v>468</v>
      </c>
      <c r="L44" s="122" t="s">
        <v>469</v>
      </c>
      <c r="M44" s="101">
        <v>2</v>
      </c>
      <c r="N44" s="101" t="s">
        <v>467</v>
      </c>
      <c r="O44" s="123" t="s">
        <v>460</v>
      </c>
      <c r="P44" s="99">
        <f>SUM(J44*M44)</f>
        <v>600000</v>
      </c>
      <c r="Q44" s="125" t="s">
        <v>468</v>
      </c>
      <c r="AD44" s="36"/>
      <c r="AE44" s="41"/>
      <c r="AF44" s="41"/>
    </row>
    <row r="45" spans="1:32" s="37" customFormat="1" ht="15.95" customHeight="1">
      <c r="A45" s="133"/>
      <c r="B45" s="104"/>
      <c r="C45" s="172"/>
      <c r="D45" s="139"/>
      <c r="E45" s="140"/>
      <c r="F45" s="141"/>
      <c r="G45" s="118"/>
      <c r="H45" s="142"/>
      <c r="I45" s="173" t="s">
        <v>34</v>
      </c>
      <c r="J45" s="99">
        <v>1750000</v>
      </c>
      <c r="K45" s="100" t="s">
        <v>468</v>
      </c>
      <c r="L45" s="122" t="s">
        <v>469</v>
      </c>
      <c r="M45" s="101">
        <v>4</v>
      </c>
      <c r="N45" s="101" t="s">
        <v>467</v>
      </c>
      <c r="O45" s="123" t="s">
        <v>460</v>
      </c>
      <c r="P45" s="99">
        <f>SUM(J45*M45)</f>
        <v>7000000</v>
      </c>
      <c r="Q45" s="125" t="s">
        <v>468</v>
      </c>
      <c r="AD45" s="36"/>
      <c r="AE45" s="41"/>
      <c r="AF45" s="41"/>
    </row>
    <row r="46" spans="1:32" s="37" customFormat="1" ht="15.95" customHeight="1">
      <c r="A46" s="133"/>
      <c r="B46" s="104"/>
      <c r="C46" s="172"/>
      <c r="D46" s="139"/>
      <c r="E46" s="140"/>
      <c r="F46" s="141"/>
      <c r="G46" s="118">
        <f t="shared" si="1"/>
        <v>0</v>
      </c>
      <c r="H46" s="142" t="e">
        <f t="shared" ref="H46:H56" si="3">+G46/D46*100</f>
        <v>#DIV/0!</v>
      </c>
      <c r="I46" s="173" t="s">
        <v>553</v>
      </c>
      <c r="J46" s="99">
        <v>500000</v>
      </c>
      <c r="K46" s="100" t="s">
        <v>468</v>
      </c>
      <c r="L46" s="122" t="s">
        <v>469</v>
      </c>
      <c r="M46" s="101">
        <v>6</v>
      </c>
      <c r="N46" s="101" t="s">
        <v>467</v>
      </c>
      <c r="O46" s="123" t="s">
        <v>460</v>
      </c>
      <c r="P46" s="99">
        <f>SUM(J46*M46)</f>
        <v>3000000</v>
      </c>
      <c r="Q46" s="125" t="s">
        <v>468</v>
      </c>
      <c r="AD46" s="36"/>
      <c r="AE46" s="41"/>
      <c r="AF46" s="41"/>
    </row>
    <row r="47" spans="1:32" s="37" customFormat="1" ht="15.95" customHeight="1">
      <c r="A47" s="133"/>
      <c r="B47" s="104"/>
      <c r="C47" s="172"/>
      <c r="D47" s="139"/>
      <c r="E47" s="140"/>
      <c r="F47" s="141"/>
      <c r="G47" s="118"/>
      <c r="H47" s="142"/>
      <c r="I47" s="173" t="s">
        <v>313</v>
      </c>
      <c r="J47" s="99">
        <v>70000</v>
      </c>
      <c r="K47" s="100" t="s">
        <v>468</v>
      </c>
      <c r="L47" s="122" t="s">
        <v>469</v>
      </c>
      <c r="M47" s="101">
        <v>10</v>
      </c>
      <c r="N47" s="101" t="s">
        <v>467</v>
      </c>
      <c r="O47" s="123" t="s">
        <v>460</v>
      </c>
      <c r="P47" s="99">
        <f>SUM(J47*M47)</f>
        <v>700000</v>
      </c>
      <c r="Q47" s="125" t="s">
        <v>468</v>
      </c>
      <c r="AD47" s="36"/>
      <c r="AE47" s="41"/>
      <c r="AF47" s="41"/>
    </row>
    <row r="48" spans="1:32" s="37" customFormat="1" ht="15.95" customHeight="1">
      <c r="A48" s="133"/>
      <c r="B48" s="104"/>
      <c r="C48" s="172"/>
      <c r="D48" s="139"/>
      <c r="E48" s="140"/>
      <c r="F48" s="147"/>
      <c r="G48" s="118">
        <f t="shared" si="1"/>
        <v>0</v>
      </c>
      <c r="H48" s="142" t="e">
        <f t="shared" si="3"/>
        <v>#DIV/0!</v>
      </c>
      <c r="I48" s="173" t="s">
        <v>260</v>
      </c>
      <c r="J48" s="99">
        <v>100000</v>
      </c>
      <c r="K48" s="100" t="s">
        <v>468</v>
      </c>
      <c r="L48" s="122" t="s">
        <v>469</v>
      </c>
      <c r="M48" s="101">
        <v>4</v>
      </c>
      <c r="N48" s="101" t="s">
        <v>467</v>
      </c>
      <c r="O48" s="123" t="s">
        <v>460</v>
      </c>
      <c r="P48" s="99">
        <f>SUM(J48*M48)</f>
        <v>400000</v>
      </c>
      <c r="Q48" s="125" t="s">
        <v>468</v>
      </c>
      <c r="AD48" s="36"/>
      <c r="AE48" s="41"/>
      <c r="AF48" s="41"/>
    </row>
    <row r="49" spans="1:32" s="37" customFormat="1" ht="20.100000000000001" customHeight="1">
      <c r="A49" s="133"/>
      <c r="B49" s="178" t="s">
        <v>523</v>
      </c>
      <c r="C49" s="179" t="s">
        <v>459</v>
      </c>
      <c r="D49" s="180">
        <f>SUM(D50:D62,D63:D77)</f>
        <v>302050</v>
      </c>
      <c r="E49" s="181">
        <f>SUM(E50:E77)</f>
        <v>325049.5</v>
      </c>
      <c r="F49" s="182">
        <f>SUM(F50:F62,F63:F77)</f>
        <v>274672</v>
      </c>
      <c r="G49" s="183">
        <f>E49-D49</f>
        <v>22999.5</v>
      </c>
      <c r="H49" s="184">
        <f t="shared" si="3"/>
        <v>7.6144678033438176</v>
      </c>
      <c r="I49" s="171"/>
      <c r="J49" s="111"/>
      <c r="K49" s="112"/>
      <c r="L49" s="112"/>
      <c r="M49" s="112"/>
      <c r="N49" s="112"/>
      <c r="O49" s="112"/>
      <c r="P49" s="185">
        <f>SUM(P50,P52,P59,P63,P67,P75)</f>
        <v>325050500</v>
      </c>
      <c r="Q49" s="114" t="s">
        <v>468</v>
      </c>
      <c r="AD49" s="36"/>
      <c r="AE49" s="41"/>
      <c r="AF49" s="41"/>
    </row>
    <row r="50" spans="1:32" s="37" customFormat="1" ht="15.95" customHeight="1">
      <c r="A50" s="133"/>
      <c r="B50" s="104"/>
      <c r="C50" s="170" t="s">
        <v>485</v>
      </c>
      <c r="D50" s="134">
        <v>1200</v>
      </c>
      <c r="E50" s="135">
        <f>+P50/1000</f>
        <v>1200</v>
      </c>
      <c r="F50" s="136">
        <v>107</v>
      </c>
      <c r="G50" s="107">
        <f t="shared" si="1"/>
        <v>0</v>
      </c>
      <c r="H50" s="137">
        <f t="shared" si="3"/>
        <v>0</v>
      </c>
      <c r="I50" s="171"/>
      <c r="J50" s="111"/>
      <c r="K50" s="112"/>
      <c r="L50" s="113"/>
      <c r="M50" s="113" t="s">
        <v>473</v>
      </c>
      <c r="N50" s="113"/>
      <c r="O50" s="113"/>
      <c r="P50" s="111">
        <f>SUM(P51)</f>
        <v>1200000</v>
      </c>
      <c r="Q50" s="114" t="s">
        <v>468</v>
      </c>
      <c r="AD50" s="36"/>
      <c r="AE50" s="41"/>
      <c r="AF50" s="41"/>
    </row>
    <row r="51" spans="1:32" s="37" customFormat="1" ht="15.95" customHeight="1">
      <c r="A51" s="133"/>
      <c r="B51" s="186"/>
      <c r="C51" s="174"/>
      <c r="D51" s="145"/>
      <c r="E51" s="146"/>
      <c r="F51" s="147"/>
      <c r="G51" s="130">
        <f t="shared" si="1"/>
        <v>0</v>
      </c>
      <c r="H51" s="148" t="e">
        <f t="shared" si="3"/>
        <v>#DIV/0!</v>
      </c>
      <c r="I51" s="175" t="s">
        <v>162</v>
      </c>
      <c r="J51" s="159">
        <v>100000</v>
      </c>
      <c r="K51" s="160" t="s">
        <v>468</v>
      </c>
      <c r="L51" s="161" t="s">
        <v>469</v>
      </c>
      <c r="M51" s="163">
        <v>12</v>
      </c>
      <c r="N51" s="163" t="s">
        <v>472</v>
      </c>
      <c r="O51" s="167" t="s">
        <v>460</v>
      </c>
      <c r="P51" s="159">
        <f>SUM(J51*M51)</f>
        <v>1200000</v>
      </c>
      <c r="Q51" s="164" t="s">
        <v>468</v>
      </c>
      <c r="AD51" s="36"/>
      <c r="AE51" s="41"/>
      <c r="AF51" s="41"/>
    </row>
    <row r="52" spans="1:32" s="37" customFormat="1" ht="15.95" customHeight="1">
      <c r="A52" s="133"/>
      <c r="B52" s="104"/>
      <c r="C52" s="187" t="s">
        <v>534</v>
      </c>
      <c r="D52" s="134">
        <v>230544</v>
      </c>
      <c r="E52" s="135">
        <f>+P52/1000</f>
        <v>218544</v>
      </c>
      <c r="F52" s="136">
        <v>27504</v>
      </c>
      <c r="G52" s="107">
        <f t="shared" si="1"/>
        <v>-12000</v>
      </c>
      <c r="H52" s="137">
        <f t="shared" si="3"/>
        <v>-5.2050801582344368</v>
      </c>
      <c r="I52" s="171"/>
      <c r="J52" s="111"/>
      <c r="K52" s="112"/>
      <c r="L52" s="112"/>
      <c r="M52" s="138" t="s">
        <v>473</v>
      </c>
      <c r="N52" s="138"/>
      <c r="O52" s="138"/>
      <c r="P52" s="185">
        <f>SUM(P53:P58)</f>
        <v>218544000</v>
      </c>
      <c r="Q52" s="114" t="s">
        <v>468</v>
      </c>
      <c r="AD52" s="36"/>
      <c r="AE52" s="41"/>
      <c r="AF52" s="41"/>
    </row>
    <row r="53" spans="1:32" s="37" customFormat="1" ht="15.95" customHeight="1">
      <c r="A53" s="133"/>
      <c r="B53" s="104"/>
      <c r="C53" s="188"/>
      <c r="D53" s="139"/>
      <c r="E53" s="140"/>
      <c r="F53" s="141"/>
      <c r="G53" s="118"/>
      <c r="H53" s="142"/>
      <c r="I53" s="173" t="s">
        <v>272</v>
      </c>
      <c r="J53" s="99">
        <v>15157000</v>
      </c>
      <c r="K53" s="100" t="s">
        <v>472</v>
      </c>
      <c r="L53" s="101" t="s">
        <v>469</v>
      </c>
      <c r="M53" s="101">
        <v>12</v>
      </c>
      <c r="N53" s="101" t="s">
        <v>472</v>
      </c>
      <c r="O53" s="101" t="s">
        <v>516</v>
      </c>
      <c r="P53" s="189">
        <f>J53*M53</f>
        <v>181884000</v>
      </c>
      <c r="Q53" s="125" t="s">
        <v>468</v>
      </c>
      <c r="AD53" s="36"/>
      <c r="AE53" s="41"/>
      <c r="AF53" s="41"/>
    </row>
    <row r="54" spans="1:32" s="37" customFormat="1" ht="15.95" customHeight="1">
      <c r="A54" s="133"/>
      <c r="B54" s="104"/>
      <c r="C54" s="172"/>
      <c r="D54" s="139"/>
      <c r="E54" s="140"/>
      <c r="F54" s="141"/>
      <c r="G54" s="118">
        <f t="shared" si="1"/>
        <v>0</v>
      </c>
      <c r="H54" s="142" t="e">
        <f t="shared" si="3"/>
        <v>#DIV/0!</v>
      </c>
      <c r="I54" s="173" t="s">
        <v>528</v>
      </c>
      <c r="J54" s="99">
        <v>2530000</v>
      </c>
      <c r="K54" s="100" t="s">
        <v>468</v>
      </c>
      <c r="L54" s="122" t="s">
        <v>469</v>
      </c>
      <c r="M54" s="101">
        <v>2</v>
      </c>
      <c r="N54" s="101" t="s">
        <v>467</v>
      </c>
      <c r="O54" s="123" t="s">
        <v>460</v>
      </c>
      <c r="P54" s="99">
        <f>SUM(J54*M54)</f>
        <v>5060000</v>
      </c>
      <c r="Q54" s="125" t="s">
        <v>468</v>
      </c>
      <c r="AD54" s="36"/>
      <c r="AE54" s="41"/>
      <c r="AF54" s="41"/>
    </row>
    <row r="55" spans="1:32" s="37" customFormat="1" ht="15.95" customHeight="1">
      <c r="A55" s="133"/>
      <c r="B55" s="104"/>
      <c r="C55" s="172"/>
      <c r="D55" s="139"/>
      <c r="E55" s="140"/>
      <c r="F55" s="141"/>
      <c r="G55" s="118"/>
      <c r="H55" s="142"/>
      <c r="I55" s="173" t="s">
        <v>270</v>
      </c>
      <c r="J55" s="99">
        <v>2000000</v>
      </c>
      <c r="K55" s="100" t="s">
        <v>468</v>
      </c>
      <c r="L55" s="122" t="s">
        <v>469</v>
      </c>
      <c r="M55" s="101">
        <v>5</v>
      </c>
      <c r="N55" s="101" t="s">
        <v>467</v>
      </c>
      <c r="O55" s="123" t="s">
        <v>460</v>
      </c>
      <c r="P55" s="99">
        <f>SUM(J55*M55)</f>
        <v>10000000</v>
      </c>
      <c r="Q55" s="125" t="s">
        <v>468</v>
      </c>
      <c r="AD55" s="36"/>
      <c r="AE55" s="41"/>
      <c r="AF55" s="41"/>
    </row>
    <row r="56" spans="1:32" s="37" customFormat="1" ht="15.95" customHeight="1">
      <c r="A56" s="133"/>
      <c r="B56" s="104"/>
      <c r="C56" s="172"/>
      <c r="D56" s="139"/>
      <c r="E56" s="140"/>
      <c r="F56" s="141"/>
      <c r="G56" s="118">
        <f t="shared" si="1"/>
        <v>0</v>
      </c>
      <c r="H56" s="142" t="e">
        <f t="shared" si="3"/>
        <v>#DIV/0!</v>
      </c>
      <c r="I56" s="173" t="s">
        <v>8</v>
      </c>
      <c r="J56" s="99">
        <v>1000000</v>
      </c>
      <c r="K56" s="100" t="s">
        <v>468</v>
      </c>
      <c r="L56" s="122" t="s">
        <v>469</v>
      </c>
      <c r="M56" s="101">
        <v>12</v>
      </c>
      <c r="N56" s="101" t="s">
        <v>472</v>
      </c>
      <c r="O56" s="123" t="s">
        <v>460</v>
      </c>
      <c r="P56" s="99">
        <f>SUM(J56*M56)</f>
        <v>12000000</v>
      </c>
      <c r="Q56" s="125" t="s">
        <v>468</v>
      </c>
      <c r="AD56" s="36"/>
      <c r="AE56" s="41"/>
      <c r="AF56" s="41"/>
    </row>
    <row r="57" spans="1:32" s="37" customFormat="1" ht="15.95" customHeight="1">
      <c r="A57" s="133"/>
      <c r="B57" s="104"/>
      <c r="C57" s="172"/>
      <c r="D57" s="139"/>
      <c r="E57" s="140"/>
      <c r="F57" s="141"/>
      <c r="G57" s="118"/>
      <c r="H57" s="142"/>
      <c r="I57" s="173" t="s">
        <v>91</v>
      </c>
      <c r="J57" s="99">
        <v>500000</v>
      </c>
      <c r="K57" s="100" t="s">
        <v>468</v>
      </c>
      <c r="L57" s="122" t="s">
        <v>469</v>
      </c>
      <c r="M57" s="101">
        <v>12</v>
      </c>
      <c r="N57" s="101" t="s">
        <v>472</v>
      </c>
      <c r="O57" s="123" t="s">
        <v>460</v>
      </c>
      <c r="P57" s="99">
        <f>SUM(J57*M57)</f>
        <v>6000000</v>
      </c>
      <c r="Q57" s="125" t="s">
        <v>468</v>
      </c>
      <c r="AD57" s="36"/>
      <c r="AE57" s="41"/>
      <c r="AF57" s="41"/>
    </row>
    <row r="58" spans="1:32" s="37" customFormat="1" ht="15.95" customHeight="1">
      <c r="A58" s="133"/>
      <c r="B58" s="104"/>
      <c r="C58" s="174"/>
      <c r="D58" s="145"/>
      <c r="E58" s="146"/>
      <c r="F58" s="147"/>
      <c r="G58" s="130">
        <f t="shared" si="1"/>
        <v>0</v>
      </c>
      <c r="H58" s="148" t="e">
        <f t="shared" ref="H58:H67" si="4">+G58/D58*100</f>
        <v>#DIV/0!</v>
      </c>
      <c r="I58" s="175" t="s">
        <v>57</v>
      </c>
      <c r="J58" s="159">
        <v>300000</v>
      </c>
      <c r="K58" s="160" t="s">
        <v>468</v>
      </c>
      <c r="L58" s="161" t="s">
        <v>469</v>
      </c>
      <c r="M58" s="163">
        <v>12</v>
      </c>
      <c r="N58" s="163" t="s">
        <v>472</v>
      </c>
      <c r="O58" s="167" t="s">
        <v>460</v>
      </c>
      <c r="P58" s="159">
        <f>SUM(J58*M58)</f>
        <v>3600000</v>
      </c>
      <c r="Q58" s="164" t="s">
        <v>468</v>
      </c>
      <c r="AD58" s="36"/>
      <c r="AE58" s="41"/>
      <c r="AF58" s="41"/>
    </row>
    <row r="59" spans="1:32" s="37" customFormat="1" ht="15.95" customHeight="1">
      <c r="A59" s="133"/>
      <c r="B59" s="104"/>
      <c r="C59" s="172" t="s">
        <v>33</v>
      </c>
      <c r="D59" s="139">
        <v>8460</v>
      </c>
      <c r="E59" s="140">
        <f>P59/1000</f>
        <v>8460</v>
      </c>
      <c r="F59" s="141">
        <v>9102</v>
      </c>
      <c r="G59" s="118">
        <f>+E59-D59</f>
        <v>0</v>
      </c>
      <c r="H59" s="142">
        <f t="shared" si="4"/>
        <v>0</v>
      </c>
      <c r="I59" s="173"/>
      <c r="J59" s="99"/>
      <c r="K59" s="100"/>
      <c r="L59" s="100"/>
      <c r="M59" s="190" t="s">
        <v>473</v>
      </c>
      <c r="N59" s="190"/>
      <c r="O59" s="190"/>
      <c r="P59" s="189">
        <f>SUM(P60:P62)</f>
        <v>8460000</v>
      </c>
      <c r="Q59" s="125" t="s">
        <v>468</v>
      </c>
      <c r="AD59" s="36"/>
      <c r="AE59" s="41"/>
      <c r="AF59" s="41"/>
    </row>
    <row r="60" spans="1:32" s="37" customFormat="1" ht="15.95" customHeight="1">
      <c r="A60" s="133"/>
      <c r="B60" s="104"/>
      <c r="C60" s="172"/>
      <c r="D60" s="139"/>
      <c r="E60" s="140"/>
      <c r="F60" s="141"/>
      <c r="G60" s="118">
        <f>+E60-D60</f>
        <v>0</v>
      </c>
      <c r="H60" s="142" t="e">
        <f t="shared" si="4"/>
        <v>#DIV/0!</v>
      </c>
      <c r="I60" s="173" t="s">
        <v>372</v>
      </c>
      <c r="J60" s="99">
        <v>400000</v>
      </c>
      <c r="K60" s="100" t="s">
        <v>468</v>
      </c>
      <c r="L60" s="122" t="s">
        <v>469</v>
      </c>
      <c r="M60" s="101">
        <v>12</v>
      </c>
      <c r="N60" s="101" t="s">
        <v>472</v>
      </c>
      <c r="O60" s="123" t="s">
        <v>460</v>
      </c>
      <c r="P60" s="99">
        <f>SUM(J60*M60)</f>
        <v>4800000</v>
      </c>
      <c r="Q60" s="125" t="s">
        <v>468</v>
      </c>
      <c r="AD60" s="36"/>
      <c r="AE60" s="41"/>
      <c r="AF60" s="41"/>
    </row>
    <row r="61" spans="1:32" s="37" customFormat="1" ht="15.95" customHeight="1">
      <c r="A61" s="133"/>
      <c r="B61" s="104"/>
      <c r="C61" s="172"/>
      <c r="D61" s="139"/>
      <c r="E61" s="140"/>
      <c r="F61" s="141"/>
      <c r="G61" s="118">
        <f>+E61-D61</f>
        <v>0</v>
      </c>
      <c r="H61" s="142" t="e">
        <f t="shared" si="4"/>
        <v>#DIV/0!</v>
      </c>
      <c r="I61" s="173" t="s">
        <v>12</v>
      </c>
      <c r="J61" s="99">
        <v>235000</v>
      </c>
      <c r="K61" s="100" t="s">
        <v>468</v>
      </c>
      <c r="L61" s="122" t="s">
        <v>469</v>
      </c>
      <c r="M61" s="101">
        <v>12</v>
      </c>
      <c r="N61" s="101" t="s">
        <v>472</v>
      </c>
      <c r="O61" s="123" t="s">
        <v>460</v>
      </c>
      <c r="P61" s="99">
        <f>SUM(J61*M61)</f>
        <v>2820000</v>
      </c>
      <c r="Q61" s="125" t="s">
        <v>468</v>
      </c>
      <c r="AD61" s="36"/>
      <c r="AE61" s="41"/>
      <c r="AF61" s="41"/>
    </row>
    <row r="62" spans="1:32" s="37" customFormat="1" ht="15.95" customHeight="1">
      <c r="A62" s="133"/>
      <c r="B62" s="104"/>
      <c r="C62" s="172"/>
      <c r="D62" s="139"/>
      <c r="E62" s="140"/>
      <c r="F62" s="141"/>
      <c r="G62" s="118">
        <f>+E62-D62</f>
        <v>0</v>
      </c>
      <c r="H62" s="142" t="e">
        <f t="shared" si="4"/>
        <v>#DIV/0!</v>
      </c>
      <c r="I62" s="173" t="s">
        <v>32</v>
      </c>
      <c r="J62" s="99">
        <v>70000</v>
      </c>
      <c r="K62" s="100" t="s">
        <v>468</v>
      </c>
      <c r="L62" s="122" t="s">
        <v>469</v>
      </c>
      <c r="M62" s="101">
        <v>12</v>
      </c>
      <c r="N62" s="101" t="s">
        <v>467</v>
      </c>
      <c r="O62" s="123" t="s">
        <v>460</v>
      </c>
      <c r="P62" s="99">
        <f>SUM(J62*M62)</f>
        <v>840000</v>
      </c>
      <c r="Q62" s="125" t="s">
        <v>468</v>
      </c>
      <c r="AD62" s="36"/>
      <c r="AE62" s="41"/>
      <c r="AF62" s="41"/>
    </row>
    <row r="63" spans="1:32" s="37" customFormat="1" ht="15.95" customHeight="1">
      <c r="A63" s="133" t="s">
        <v>505</v>
      </c>
      <c r="B63" s="104" t="s">
        <v>505</v>
      </c>
      <c r="C63" s="105" t="s">
        <v>13</v>
      </c>
      <c r="D63" s="134">
        <v>12500</v>
      </c>
      <c r="E63" s="135">
        <f>+P63/1000</f>
        <v>52500</v>
      </c>
      <c r="F63" s="136">
        <v>194780</v>
      </c>
      <c r="G63" s="107">
        <f>+E63-D63</f>
        <v>40000</v>
      </c>
      <c r="H63" s="137">
        <f t="shared" si="4"/>
        <v>320</v>
      </c>
      <c r="I63" s="171"/>
      <c r="J63" s="111"/>
      <c r="K63" s="112"/>
      <c r="L63" s="112"/>
      <c r="M63" s="138" t="s">
        <v>473</v>
      </c>
      <c r="N63" s="138"/>
      <c r="O63" s="138"/>
      <c r="P63" s="185">
        <f>SUM(P64:P66)</f>
        <v>52500000</v>
      </c>
      <c r="Q63" s="114" t="s">
        <v>468</v>
      </c>
      <c r="AD63" s="36"/>
      <c r="AE63" s="41"/>
      <c r="AF63" s="41"/>
    </row>
    <row r="64" spans="1:32" s="37" customFormat="1" ht="15.95" customHeight="1">
      <c r="A64" s="133"/>
      <c r="B64" s="104"/>
      <c r="C64" s="116"/>
      <c r="D64" s="139"/>
      <c r="E64" s="140"/>
      <c r="F64" s="141"/>
      <c r="G64" s="118"/>
      <c r="H64" s="142"/>
      <c r="I64" s="173" t="s">
        <v>52</v>
      </c>
      <c r="J64" s="99">
        <v>8960000</v>
      </c>
      <c r="K64" s="100" t="s">
        <v>468</v>
      </c>
      <c r="L64" s="122" t="s">
        <v>469</v>
      </c>
      <c r="M64" s="101">
        <v>5</v>
      </c>
      <c r="N64" s="101" t="s">
        <v>565</v>
      </c>
      <c r="O64" s="123" t="s">
        <v>460</v>
      </c>
      <c r="P64" s="99">
        <f>SUM(J64*M64)</f>
        <v>44800000</v>
      </c>
      <c r="Q64" s="125" t="s">
        <v>468</v>
      </c>
      <c r="AD64" s="36"/>
      <c r="AE64" s="41"/>
      <c r="AF64" s="41"/>
    </row>
    <row r="65" spans="1:32" s="37" customFormat="1" ht="15.95" customHeight="1">
      <c r="A65" s="133"/>
      <c r="B65" s="104"/>
      <c r="C65" s="116"/>
      <c r="D65" s="139"/>
      <c r="E65" s="140"/>
      <c r="F65" s="141"/>
      <c r="G65" s="118"/>
      <c r="H65" s="142"/>
      <c r="I65" s="191" t="s">
        <v>350</v>
      </c>
      <c r="J65" s="99">
        <v>1900000</v>
      </c>
      <c r="K65" s="100" t="s">
        <v>468</v>
      </c>
      <c r="L65" s="122" t="s">
        <v>469</v>
      </c>
      <c r="M65" s="101">
        <v>3</v>
      </c>
      <c r="N65" s="101" t="s">
        <v>467</v>
      </c>
      <c r="O65" s="101" t="s">
        <v>460</v>
      </c>
      <c r="P65" s="99">
        <f>SUM(J65*M65)</f>
        <v>5700000</v>
      </c>
      <c r="Q65" s="125" t="s">
        <v>468</v>
      </c>
      <c r="AD65" s="36"/>
      <c r="AE65" s="41"/>
      <c r="AF65" s="41"/>
    </row>
    <row r="66" spans="1:32" s="37" customFormat="1" ht="15.95" customHeight="1">
      <c r="A66" s="133"/>
      <c r="B66" s="104"/>
      <c r="C66" s="128"/>
      <c r="D66" s="145"/>
      <c r="E66" s="146"/>
      <c r="F66" s="147"/>
      <c r="G66" s="130"/>
      <c r="H66" s="148"/>
      <c r="I66" s="175" t="s">
        <v>267</v>
      </c>
      <c r="J66" s="159">
        <v>1000000</v>
      </c>
      <c r="K66" s="160" t="s">
        <v>468</v>
      </c>
      <c r="L66" s="161" t="s">
        <v>469</v>
      </c>
      <c r="M66" s="163">
        <v>2</v>
      </c>
      <c r="N66" s="163" t="s">
        <v>496</v>
      </c>
      <c r="O66" s="167" t="s">
        <v>460</v>
      </c>
      <c r="P66" s="159">
        <f>SUM(J66*M66)</f>
        <v>2000000</v>
      </c>
      <c r="Q66" s="164" t="s">
        <v>468</v>
      </c>
      <c r="AD66" s="36"/>
      <c r="AE66" s="41"/>
      <c r="AF66" s="41"/>
    </row>
    <row r="67" spans="1:32" s="37" customFormat="1" ht="15.95" customHeight="1">
      <c r="A67" s="76" t="s">
        <v>458</v>
      </c>
      <c r="B67" s="91" t="s">
        <v>523</v>
      </c>
      <c r="C67" s="105" t="s">
        <v>112</v>
      </c>
      <c r="D67" s="134">
        <v>47546</v>
      </c>
      <c r="E67" s="135">
        <f>+P67/1000-1</f>
        <v>42545.5</v>
      </c>
      <c r="F67" s="108">
        <v>36590</v>
      </c>
      <c r="G67" s="107">
        <f>+E67-D67+1</f>
        <v>-4999.5</v>
      </c>
      <c r="H67" s="109">
        <f t="shared" si="4"/>
        <v>-10.515080132923906</v>
      </c>
      <c r="I67" s="192"/>
      <c r="J67" s="193"/>
      <c r="K67" s="112"/>
      <c r="L67" s="113"/>
      <c r="M67" s="138" t="s">
        <v>473</v>
      </c>
      <c r="N67" s="138"/>
      <c r="O67" s="138"/>
      <c r="P67" s="111">
        <f>SUM(P68:P74)</f>
        <v>42546500</v>
      </c>
      <c r="Q67" s="114" t="s">
        <v>468</v>
      </c>
      <c r="AD67" s="36"/>
      <c r="AE67" s="41"/>
      <c r="AF67" s="41"/>
    </row>
    <row r="68" spans="1:32" s="37" customFormat="1" ht="15.95" customHeight="1">
      <c r="A68" s="133"/>
      <c r="B68" s="104"/>
      <c r="C68" s="116"/>
      <c r="D68" s="139"/>
      <c r="E68" s="140"/>
      <c r="F68" s="119"/>
      <c r="G68" s="118"/>
      <c r="H68" s="120"/>
      <c r="I68" s="173" t="s">
        <v>374</v>
      </c>
      <c r="J68" s="99">
        <v>3250000</v>
      </c>
      <c r="K68" s="100" t="s">
        <v>468</v>
      </c>
      <c r="L68" s="122" t="s">
        <v>469</v>
      </c>
      <c r="M68" s="101">
        <v>4</v>
      </c>
      <c r="N68" s="101" t="s">
        <v>509</v>
      </c>
      <c r="O68" s="123" t="s">
        <v>460</v>
      </c>
      <c r="P68" s="99">
        <v>13000000</v>
      </c>
      <c r="Q68" s="125" t="s">
        <v>468</v>
      </c>
      <c r="AD68" s="36"/>
      <c r="AE68" s="41"/>
      <c r="AF68" s="41"/>
    </row>
    <row r="69" spans="1:32" s="37" customFormat="1" ht="15.95" customHeight="1">
      <c r="A69" s="133"/>
      <c r="B69" s="104"/>
      <c r="C69" s="116"/>
      <c r="D69" s="139"/>
      <c r="E69" s="140"/>
      <c r="F69" s="119"/>
      <c r="G69" s="118"/>
      <c r="H69" s="120"/>
      <c r="I69" s="173" t="s">
        <v>58</v>
      </c>
      <c r="J69" s="99">
        <v>1000000</v>
      </c>
      <c r="K69" s="100" t="s">
        <v>468</v>
      </c>
      <c r="L69" s="122" t="s">
        <v>469</v>
      </c>
      <c r="M69" s="101">
        <v>10</v>
      </c>
      <c r="N69" s="101" t="s">
        <v>467</v>
      </c>
      <c r="O69" s="123" t="s">
        <v>460</v>
      </c>
      <c r="P69" s="99">
        <f t="shared" ref="P69:P74" si="5">SUM(J69*M69)</f>
        <v>10000000</v>
      </c>
      <c r="Q69" s="125" t="s">
        <v>468</v>
      </c>
      <c r="AD69" s="36"/>
      <c r="AE69" s="41"/>
      <c r="AF69" s="41"/>
    </row>
    <row r="70" spans="1:32" s="37" customFormat="1" ht="15.95" customHeight="1">
      <c r="A70" s="194"/>
      <c r="B70" s="195"/>
      <c r="C70" s="116"/>
      <c r="D70" s="139"/>
      <c r="E70" s="140"/>
      <c r="F70" s="119"/>
      <c r="G70" s="118"/>
      <c r="H70" s="120"/>
      <c r="I70" s="173" t="s">
        <v>204</v>
      </c>
      <c r="J70" s="99">
        <v>5066500</v>
      </c>
      <c r="K70" s="100" t="s">
        <v>468</v>
      </c>
      <c r="L70" s="122" t="s">
        <v>469</v>
      </c>
      <c r="M70" s="101">
        <v>1</v>
      </c>
      <c r="N70" s="101" t="s">
        <v>467</v>
      </c>
      <c r="O70" s="123" t="s">
        <v>460</v>
      </c>
      <c r="P70" s="99">
        <f t="shared" si="5"/>
        <v>5066500</v>
      </c>
      <c r="Q70" s="125" t="s">
        <v>468</v>
      </c>
      <c r="AD70" s="36"/>
      <c r="AE70" s="41"/>
      <c r="AF70" s="41"/>
    </row>
    <row r="71" spans="1:32" s="37" customFormat="1" ht="15.95" customHeight="1">
      <c r="A71" s="194"/>
      <c r="B71" s="195"/>
      <c r="C71" s="116"/>
      <c r="D71" s="139"/>
      <c r="E71" s="140"/>
      <c r="F71" s="119"/>
      <c r="G71" s="118"/>
      <c r="H71" s="120"/>
      <c r="I71" s="196" t="s">
        <v>348</v>
      </c>
      <c r="J71" s="197">
        <v>7320000</v>
      </c>
      <c r="K71" s="198" t="s">
        <v>468</v>
      </c>
      <c r="L71" s="199" t="s">
        <v>469</v>
      </c>
      <c r="M71" s="200">
        <v>1</v>
      </c>
      <c r="N71" s="200" t="s">
        <v>467</v>
      </c>
      <c r="O71" s="201" t="s">
        <v>460</v>
      </c>
      <c r="P71" s="197">
        <v>7320000</v>
      </c>
      <c r="Q71" s="202" t="s">
        <v>468</v>
      </c>
      <c r="AD71" s="36"/>
      <c r="AE71" s="41"/>
      <c r="AF71" s="41"/>
    </row>
    <row r="72" spans="1:32" s="37" customFormat="1" ht="15.95" customHeight="1">
      <c r="A72" s="133"/>
      <c r="B72" s="104"/>
      <c r="C72" s="116"/>
      <c r="D72" s="139"/>
      <c r="E72" s="140"/>
      <c r="F72" s="119"/>
      <c r="G72" s="118"/>
      <c r="H72" s="120"/>
      <c r="I72" s="173" t="s">
        <v>133</v>
      </c>
      <c r="J72" s="99">
        <v>1200000</v>
      </c>
      <c r="K72" s="100" t="s">
        <v>468</v>
      </c>
      <c r="L72" s="122" t="s">
        <v>469</v>
      </c>
      <c r="M72" s="101">
        <v>2</v>
      </c>
      <c r="N72" s="101" t="s">
        <v>506</v>
      </c>
      <c r="O72" s="123" t="s">
        <v>460</v>
      </c>
      <c r="P72" s="99">
        <f t="shared" si="5"/>
        <v>2400000</v>
      </c>
      <c r="Q72" s="125" t="s">
        <v>468</v>
      </c>
      <c r="AD72" s="36"/>
      <c r="AE72" s="41"/>
      <c r="AF72" s="41"/>
    </row>
    <row r="73" spans="1:32" s="37" customFormat="1" ht="15.95" customHeight="1">
      <c r="A73" s="133"/>
      <c r="B73" s="104"/>
      <c r="C73" s="116"/>
      <c r="D73" s="139"/>
      <c r="E73" s="140"/>
      <c r="F73" s="119"/>
      <c r="G73" s="118"/>
      <c r="H73" s="120"/>
      <c r="I73" s="173" t="s">
        <v>130</v>
      </c>
      <c r="J73" s="99">
        <v>330000</v>
      </c>
      <c r="K73" s="100" t="s">
        <v>468</v>
      </c>
      <c r="L73" s="122" t="s">
        <v>469</v>
      </c>
      <c r="M73" s="101">
        <v>12</v>
      </c>
      <c r="N73" s="101" t="s">
        <v>467</v>
      </c>
      <c r="O73" s="123" t="s">
        <v>460</v>
      </c>
      <c r="P73" s="99">
        <f t="shared" si="5"/>
        <v>3960000</v>
      </c>
      <c r="Q73" s="125" t="s">
        <v>468</v>
      </c>
      <c r="AD73" s="36"/>
      <c r="AE73" s="41"/>
      <c r="AF73" s="41"/>
    </row>
    <row r="74" spans="1:32" s="37" customFormat="1" ht="15.95" customHeight="1">
      <c r="A74" s="133"/>
      <c r="B74" s="104"/>
      <c r="C74" s="128"/>
      <c r="D74" s="145"/>
      <c r="E74" s="146"/>
      <c r="F74" s="119"/>
      <c r="G74" s="130"/>
      <c r="H74" s="131"/>
      <c r="I74" s="173" t="s">
        <v>387</v>
      </c>
      <c r="J74" s="99">
        <v>400000</v>
      </c>
      <c r="K74" s="100" t="s">
        <v>468</v>
      </c>
      <c r="L74" s="122" t="s">
        <v>469</v>
      </c>
      <c r="M74" s="101">
        <v>2</v>
      </c>
      <c r="N74" s="101" t="s">
        <v>467</v>
      </c>
      <c r="O74" s="123" t="s">
        <v>460</v>
      </c>
      <c r="P74" s="99">
        <f t="shared" si="5"/>
        <v>800000</v>
      </c>
      <c r="Q74" s="125" t="s">
        <v>468</v>
      </c>
      <c r="AD74" s="36"/>
      <c r="AE74" s="41"/>
      <c r="AF74" s="41"/>
    </row>
    <row r="75" spans="1:32" s="37" customFormat="1" ht="15.95" customHeight="1">
      <c r="A75" s="133"/>
      <c r="B75" s="104"/>
      <c r="C75" s="170" t="s">
        <v>498</v>
      </c>
      <c r="D75" s="134">
        <v>1800</v>
      </c>
      <c r="E75" s="135">
        <f>+P75/1000</f>
        <v>1800</v>
      </c>
      <c r="F75" s="136">
        <v>6589</v>
      </c>
      <c r="G75" s="107">
        <f>+E75-D75</f>
        <v>0</v>
      </c>
      <c r="H75" s="137">
        <f>+G75/D75*100</f>
        <v>0</v>
      </c>
      <c r="I75" s="171"/>
      <c r="J75" s="111"/>
      <c r="K75" s="112"/>
      <c r="L75" s="113"/>
      <c r="M75" s="138" t="s">
        <v>473</v>
      </c>
      <c r="N75" s="138"/>
      <c r="O75" s="138"/>
      <c r="P75" s="111">
        <f>SUM(P76:P77)</f>
        <v>1800000</v>
      </c>
      <c r="Q75" s="114" t="s">
        <v>468</v>
      </c>
      <c r="AD75" s="36"/>
      <c r="AE75" s="41"/>
      <c r="AF75" s="41"/>
    </row>
    <row r="76" spans="1:32" s="37" customFormat="1" ht="15.95" customHeight="1">
      <c r="A76" s="133"/>
      <c r="B76" s="104"/>
      <c r="C76" s="172"/>
      <c r="D76" s="139"/>
      <c r="E76" s="140"/>
      <c r="F76" s="141"/>
      <c r="G76" s="118">
        <f>+E76-D76</f>
        <v>0</v>
      </c>
      <c r="H76" s="142" t="e">
        <f>+G76/D76*100</f>
        <v>#DIV/0!</v>
      </c>
      <c r="I76" s="173" t="s">
        <v>113</v>
      </c>
      <c r="J76" s="99">
        <v>100000</v>
      </c>
      <c r="K76" s="100" t="s">
        <v>468</v>
      </c>
      <c r="L76" s="101" t="s">
        <v>469</v>
      </c>
      <c r="M76" s="101">
        <v>12</v>
      </c>
      <c r="N76" s="101" t="s">
        <v>472</v>
      </c>
      <c r="O76" s="123" t="s">
        <v>460</v>
      </c>
      <c r="P76" s="99">
        <f>SUM(J76*M76)</f>
        <v>1200000</v>
      </c>
      <c r="Q76" s="125" t="s">
        <v>468</v>
      </c>
      <c r="AD76" s="36"/>
      <c r="AE76" s="41"/>
      <c r="AF76" s="41"/>
    </row>
    <row r="77" spans="1:32" s="37" customFormat="1" ht="15.95" customHeight="1">
      <c r="A77" s="203"/>
      <c r="B77" s="166"/>
      <c r="C77" s="174"/>
      <c r="D77" s="145"/>
      <c r="E77" s="146"/>
      <c r="F77" s="147"/>
      <c r="G77" s="130">
        <f>+E77-D77</f>
        <v>0</v>
      </c>
      <c r="H77" s="148" t="e">
        <f>+G77/D77*100</f>
        <v>#DIV/0!</v>
      </c>
      <c r="I77" s="175" t="s">
        <v>16</v>
      </c>
      <c r="J77" s="159">
        <v>100000</v>
      </c>
      <c r="K77" s="160" t="s">
        <v>468</v>
      </c>
      <c r="L77" s="161" t="s">
        <v>469</v>
      </c>
      <c r="M77" s="163">
        <v>6</v>
      </c>
      <c r="N77" s="163" t="s">
        <v>467</v>
      </c>
      <c r="O77" s="167" t="s">
        <v>460</v>
      </c>
      <c r="P77" s="159">
        <f>SUM(J77*M77)</f>
        <v>600000</v>
      </c>
      <c r="Q77" s="164" t="s">
        <v>468</v>
      </c>
      <c r="AD77" s="36"/>
      <c r="AE77" s="41"/>
      <c r="AF77" s="41"/>
    </row>
    <row r="78" spans="1:32" s="37" customFormat="1" ht="20.100000000000001" customHeight="1">
      <c r="A78" s="76" t="s">
        <v>464</v>
      </c>
      <c r="B78" s="204" t="s">
        <v>484</v>
      </c>
      <c r="C78" s="205"/>
      <c r="D78" s="206">
        <f>SUM(D79:D84)</f>
        <v>56902</v>
      </c>
      <c r="E78" s="207">
        <f>SUM(E79:E84)</f>
        <v>40517.47</v>
      </c>
      <c r="F78" s="208">
        <f>SUM(F79:F84)</f>
        <v>215364</v>
      </c>
      <c r="G78" s="209">
        <f>+E78-D78</f>
        <v>-16384.53</v>
      </c>
      <c r="H78" s="210">
        <f>+G78/D78*100</f>
        <v>-28.794295455344276</v>
      </c>
      <c r="I78" s="173"/>
      <c r="J78" s="99"/>
      <c r="K78" s="100"/>
      <c r="L78" s="101"/>
      <c r="M78" s="101"/>
      <c r="N78" s="101"/>
      <c r="O78" s="101"/>
      <c r="P78" s="211">
        <f>SUM(P79,P81,P84)</f>
        <v>40517470</v>
      </c>
      <c r="Q78" s="212" t="s">
        <v>468</v>
      </c>
      <c r="AD78" s="36"/>
      <c r="AE78" s="41"/>
      <c r="AF78" s="41"/>
    </row>
    <row r="79" spans="1:32" s="37" customFormat="1" ht="16.5" customHeight="1">
      <c r="A79" s="76" t="s">
        <v>462</v>
      </c>
      <c r="B79" s="178" t="s">
        <v>483</v>
      </c>
      <c r="C79" s="170" t="s">
        <v>483</v>
      </c>
      <c r="D79" s="134">
        <v>5000</v>
      </c>
      <c r="E79" s="135">
        <f>+P79/1000</f>
        <v>10000</v>
      </c>
      <c r="F79" s="136">
        <v>290</v>
      </c>
      <c r="G79" s="107">
        <f>+E79-D79</f>
        <v>5000</v>
      </c>
      <c r="H79" s="137">
        <f>G79/D79*100</f>
        <v>100</v>
      </c>
      <c r="I79" s="213"/>
      <c r="J79" s="111"/>
      <c r="K79" s="112"/>
      <c r="L79" s="214"/>
      <c r="M79" s="113" t="s">
        <v>473</v>
      </c>
      <c r="N79" s="113"/>
      <c r="O79" s="113"/>
      <c r="P79" s="111">
        <f>SUM(P80:P80)</f>
        <v>10000000</v>
      </c>
      <c r="Q79" s="114" t="s">
        <v>468</v>
      </c>
      <c r="AD79" s="36"/>
      <c r="AE79" s="41"/>
      <c r="AF79" s="41"/>
    </row>
    <row r="80" spans="1:32" s="37" customFormat="1" ht="16.5" customHeight="1">
      <c r="A80" s="133"/>
      <c r="B80" s="104"/>
      <c r="C80" s="174"/>
      <c r="D80" s="145"/>
      <c r="E80" s="146"/>
      <c r="F80" s="147"/>
      <c r="G80" s="130"/>
      <c r="H80" s="148"/>
      <c r="I80" s="215" t="s">
        <v>213</v>
      </c>
      <c r="J80" s="159">
        <v>5000000</v>
      </c>
      <c r="K80" s="160" t="s">
        <v>468</v>
      </c>
      <c r="L80" s="161" t="s">
        <v>469</v>
      </c>
      <c r="M80" s="163">
        <v>2</v>
      </c>
      <c r="N80" s="163" t="s">
        <v>467</v>
      </c>
      <c r="O80" s="167" t="s">
        <v>460</v>
      </c>
      <c r="P80" s="159">
        <f>SUM(J80*M80)</f>
        <v>10000000</v>
      </c>
      <c r="Q80" s="164" t="s">
        <v>468</v>
      </c>
      <c r="AD80" s="36"/>
      <c r="AE80" s="41"/>
      <c r="AF80" s="41"/>
    </row>
    <row r="81" spans="1:32" s="37" customFormat="1" ht="16.5" customHeight="1">
      <c r="A81" s="133"/>
      <c r="B81" s="104"/>
      <c r="C81" s="105" t="s">
        <v>36</v>
      </c>
      <c r="D81" s="134">
        <v>48902</v>
      </c>
      <c r="E81" s="135">
        <f>+P81/1000</f>
        <v>29517.47</v>
      </c>
      <c r="F81" s="136">
        <v>80074</v>
      </c>
      <c r="G81" s="107">
        <f>+E81-D81</f>
        <v>-19384.53</v>
      </c>
      <c r="H81" s="137">
        <f>+G81/D81*100</f>
        <v>-39.639544394912271</v>
      </c>
      <c r="I81" s="216"/>
      <c r="J81" s="99"/>
      <c r="K81" s="100"/>
      <c r="L81" s="122"/>
      <c r="M81" s="101" t="s">
        <v>473</v>
      </c>
      <c r="N81" s="101"/>
      <c r="O81" s="101"/>
      <c r="P81" s="99">
        <f>SUM(P82:P83)</f>
        <v>29517470</v>
      </c>
      <c r="Q81" s="125" t="s">
        <v>468</v>
      </c>
      <c r="AD81" s="36"/>
      <c r="AE81" s="41"/>
      <c r="AF81" s="41"/>
    </row>
    <row r="82" spans="1:32" s="37" customFormat="1" ht="16.5" customHeight="1">
      <c r="A82" s="133"/>
      <c r="B82" s="104"/>
      <c r="C82" s="116"/>
      <c r="D82" s="139"/>
      <c r="E82" s="140"/>
      <c r="F82" s="141"/>
      <c r="G82" s="118"/>
      <c r="H82" s="142"/>
      <c r="I82" s="217" t="s">
        <v>277</v>
      </c>
      <c r="J82" s="99">
        <v>1000000</v>
      </c>
      <c r="K82" s="100" t="s">
        <v>468</v>
      </c>
      <c r="L82" s="122" t="s">
        <v>469</v>
      </c>
      <c r="M82" s="101">
        <v>5</v>
      </c>
      <c r="N82" s="101" t="s">
        <v>467</v>
      </c>
      <c r="O82" s="123" t="s">
        <v>460</v>
      </c>
      <c r="P82" s="99">
        <f>SUM(J82*M82)</f>
        <v>5000000</v>
      </c>
      <c r="Q82" s="125" t="s">
        <v>468</v>
      </c>
      <c r="AD82" s="36"/>
      <c r="AE82" s="41"/>
      <c r="AF82" s="41"/>
    </row>
    <row r="83" spans="1:32" s="37" customFormat="1" ht="16.5" customHeight="1">
      <c r="A83" s="133"/>
      <c r="B83" s="104"/>
      <c r="C83" s="128"/>
      <c r="D83" s="145"/>
      <c r="E83" s="146"/>
      <c r="F83" s="119"/>
      <c r="G83" s="130"/>
      <c r="H83" s="148"/>
      <c r="I83" s="217" t="s">
        <v>308</v>
      </c>
      <c r="J83" s="99">
        <v>8172490</v>
      </c>
      <c r="K83" s="100" t="s">
        <v>468</v>
      </c>
      <c r="L83" s="122" t="s">
        <v>469</v>
      </c>
      <c r="M83" s="101">
        <v>3</v>
      </c>
      <c r="N83" s="101" t="s">
        <v>467</v>
      </c>
      <c r="O83" s="123" t="s">
        <v>460</v>
      </c>
      <c r="P83" s="99">
        <f>SUM(J83*M83)</f>
        <v>24517470</v>
      </c>
      <c r="Q83" s="125" t="s">
        <v>468</v>
      </c>
      <c r="AD83" s="36"/>
      <c r="AE83" s="41"/>
      <c r="AF83" s="41"/>
    </row>
    <row r="84" spans="1:32" s="37" customFormat="1" ht="16.5" customHeight="1">
      <c r="A84" s="133"/>
      <c r="B84" s="104"/>
      <c r="C84" s="218" t="s">
        <v>556</v>
      </c>
      <c r="D84" s="134">
        <v>3000</v>
      </c>
      <c r="E84" s="135">
        <f>+P84/1000</f>
        <v>1000</v>
      </c>
      <c r="F84" s="136">
        <v>135000</v>
      </c>
      <c r="G84" s="107">
        <f>+E84-D84</f>
        <v>-2000</v>
      </c>
      <c r="H84" s="137">
        <f>+G84/D84*100</f>
        <v>-66.666666666666657</v>
      </c>
      <c r="I84" s="219"/>
      <c r="J84" s="111"/>
      <c r="K84" s="112"/>
      <c r="L84" s="214"/>
      <c r="M84" s="113" t="s">
        <v>473</v>
      </c>
      <c r="N84" s="113"/>
      <c r="O84" s="113"/>
      <c r="P84" s="111">
        <f>SUM(P85:P85)</f>
        <v>1000000</v>
      </c>
      <c r="Q84" s="114" t="s">
        <v>468</v>
      </c>
      <c r="AD84" s="36"/>
      <c r="AE84" s="41"/>
      <c r="AF84" s="41"/>
    </row>
    <row r="85" spans="1:32" s="37" customFormat="1" ht="16.5" customHeight="1" thickBot="1">
      <c r="A85" s="220"/>
      <c r="B85" s="104"/>
      <c r="C85" s="221"/>
      <c r="D85" s="139"/>
      <c r="E85" s="140"/>
      <c r="F85" s="141"/>
      <c r="G85" s="118"/>
      <c r="H85" s="142"/>
      <c r="I85" s="217" t="s">
        <v>107</v>
      </c>
      <c r="J85" s="99">
        <v>500000</v>
      </c>
      <c r="K85" s="100" t="s">
        <v>468</v>
      </c>
      <c r="L85" s="122" t="s">
        <v>469</v>
      </c>
      <c r="M85" s="101">
        <v>2</v>
      </c>
      <c r="N85" s="101" t="s">
        <v>467</v>
      </c>
      <c r="O85" s="123" t="s">
        <v>460</v>
      </c>
      <c r="P85" s="99">
        <f>J85*M85</f>
        <v>1000000</v>
      </c>
      <c r="Q85" s="125" t="s">
        <v>468</v>
      </c>
      <c r="AD85" s="36"/>
      <c r="AE85" s="41"/>
      <c r="AF85" s="41"/>
    </row>
    <row r="86" spans="1:32" ht="20.100000000000001" customHeight="1">
      <c r="A86" s="222" t="s">
        <v>490</v>
      </c>
      <c r="B86" s="223" t="s">
        <v>484</v>
      </c>
      <c r="C86" s="224"/>
      <c r="D86" s="225">
        <f>+D87+D113+D131+D159+D180+D211+D220+D227+D236+D267+D246+D256+1</f>
        <v>1198148</v>
      </c>
      <c r="E86" s="225">
        <f>+E87+E113+E131+E159+E180+E211+E220+E227+E236+E267+E246+E256</f>
        <v>1119193.101</v>
      </c>
      <c r="F86" s="226" t="e">
        <f>+F87+F113+F159+#REF!+#REF!+F180+F211+F220+F236+#REF!+F267+F246+F256+#REF!</f>
        <v>#REF!</v>
      </c>
      <c r="G86" s="227">
        <f>+E86-D86</f>
        <v>-78954.898999999976</v>
      </c>
      <c r="H86" s="228">
        <f>+G86/D86*100</f>
        <v>-6.5897450899221113</v>
      </c>
      <c r="I86" s="229"/>
      <c r="J86" s="230"/>
      <c r="K86" s="231"/>
      <c r="L86" s="232"/>
      <c r="M86" s="232"/>
      <c r="N86" s="232"/>
      <c r="O86" s="232"/>
      <c r="P86" s="230">
        <f>+P87+P113+P131+P159+P180+P211+P220+P227+P236+P246+P256+P267</f>
        <v>1119193101</v>
      </c>
      <c r="Q86" s="233" t="s">
        <v>468</v>
      </c>
    </row>
    <row r="87" spans="1:32" ht="20.100000000000001" customHeight="1">
      <c r="A87" s="90"/>
      <c r="B87" s="234" t="s">
        <v>422</v>
      </c>
      <c r="C87" s="235" t="s">
        <v>459</v>
      </c>
      <c r="D87" s="236">
        <f>SUM(D88:D101,D102:D112)</f>
        <v>143206</v>
      </c>
      <c r="E87" s="236">
        <f>SUM(E88:E101,E102:E112)</f>
        <v>134956</v>
      </c>
      <c r="F87" s="237">
        <f>SUM(F88:F101)</f>
        <v>59008</v>
      </c>
      <c r="G87" s="238">
        <f>+E87-D87</f>
        <v>-8250</v>
      </c>
      <c r="H87" s="239">
        <f>+G87/D87*100</f>
        <v>-5.76093180453333</v>
      </c>
      <c r="I87" s="240"/>
      <c r="J87" s="241"/>
      <c r="K87" s="242"/>
      <c r="L87" s="243"/>
      <c r="M87" s="244" t="s">
        <v>473</v>
      </c>
      <c r="N87" s="244"/>
      <c r="O87" s="244"/>
      <c r="P87" s="241">
        <f>SUM(P88,P94,P97,P102,P104,P111)</f>
        <v>134956000</v>
      </c>
      <c r="Q87" s="102" t="s">
        <v>468</v>
      </c>
    </row>
    <row r="88" spans="1:32" ht="15.95" customHeight="1">
      <c r="A88" s="90"/>
      <c r="B88" s="245"/>
      <c r="C88" s="187" t="s">
        <v>440</v>
      </c>
      <c r="D88" s="246">
        <v>27550</v>
      </c>
      <c r="E88" s="247">
        <f>+P88/1000</f>
        <v>27550</v>
      </c>
      <c r="F88" s="248">
        <v>896</v>
      </c>
      <c r="G88" s="249">
        <f>+E88-D88</f>
        <v>0</v>
      </c>
      <c r="H88" s="250">
        <f>+G88/D88*100</f>
        <v>0</v>
      </c>
      <c r="I88" s="171"/>
      <c r="J88" s="251"/>
      <c r="K88" s="112"/>
      <c r="L88" s="112"/>
      <c r="M88" s="138" t="s">
        <v>473</v>
      </c>
      <c r="N88" s="138"/>
      <c r="O88" s="138"/>
      <c r="P88" s="185">
        <f>SUM(P89:P93)</f>
        <v>27550000</v>
      </c>
      <c r="Q88" s="114" t="s">
        <v>468</v>
      </c>
    </row>
    <row r="89" spans="1:32" ht="15.95" customHeight="1">
      <c r="A89" s="90"/>
      <c r="B89" s="245"/>
      <c r="C89" s="188"/>
      <c r="D89" s="252"/>
      <c r="E89" s="253"/>
      <c r="F89" s="254"/>
      <c r="G89" s="255"/>
      <c r="H89" s="256"/>
      <c r="I89" s="216" t="s">
        <v>434</v>
      </c>
      <c r="J89" s="257">
        <v>750000</v>
      </c>
      <c r="K89" s="100" t="s">
        <v>468</v>
      </c>
      <c r="L89" s="122" t="s">
        <v>469</v>
      </c>
      <c r="M89" s="101">
        <v>1</v>
      </c>
      <c r="N89" s="101" t="s">
        <v>470</v>
      </c>
      <c r="O89" s="123" t="s">
        <v>460</v>
      </c>
      <c r="P89" s="257">
        <f>SUM(J89*M89)</f>
        <v>750000</v>
      </c>
      <c r="Q89" s="125" t="s">
        <v>468</v>
      </c>
    </row>
    <row r="90" spans="1:32" ht="15.95" customHeight="1">
      <c r="A90" s="90"/>
      <c r="B90" s="168"/>
      <c r="C90" s="188"/>
      <c r="D90" s="252"/>
      <c r="E90" s="253"/>
      <c r="F90" s="254"/>
      <c r="G90" s="255"/>
      <c r="H90" s="256"/>
      <c r="I90" s="216" t="s">
        <v>439</v>
      </c>
      <c r="J90" s="257">
        <v>1100000</v>
      </c>
      <c r="K90" s="100" t="s">
        <v>468</v>
      </c>
      <c r="L90" s="122" t="s">
        <v>469</v>
      </c>
      <c r="M90" s="101">
        <v>2</v>
      </c>
      <c r="N90" s="101" t="s">
        <v>509</v>
      </c>
      <c r="O90" s="123" t="s">
        <v>460</v>
      </c>
      <c r="P90" s="257">
        <f>SUM(J90*M90)</f>
        <v>2200000</v>
      </c>
      <c r="Q90" s="125" t="s">
        <v>468</v>
      </c>
    </row>
    <row r="91" spans="1:32" ht="15.95" customHeight="1">
      <c r="A91" s="90"/>
      <c r="B91" s="168"/>
      <c r="C91" s="188"/>
      <c r="D91" s="252"/>
      <c r="E91" s="253"/>
      <c r="F91" s="254"/>
      <c r="G91" s="255"/>
      <c r="H91" s="256"/>
      <c r="I91" s="216" t="s">
        <v>441</v>
      </c>
      <c r="J91" s="257">
        <v>11900000</v>
      </c>
      <c r="K91" s="100" t="s">
        <v>468</v>
      </c>
      <c r="L91" s="122" t="s">
        <v>469</v>
      </c>
      <c r="M91" s="101">
        <v>1</v>
      </c>
      <c r="N91" s="101" t="s">
        <v>470</v>
      </c>
      <c r="O91" s="123" t="s">
        <v>460</v>
      </c>
      <c r="P91" s="257">
        <f>SUM(J91*M91)</f>
        <v>11900000</v>
      </c>
      <c r="Q91" s="125" t="s">
        <v>468</v>
      </c>
    </row>
    <row r="92" spans="1:32" ht="15.95" customHeight="1">
      <c r="A92" s="90"/>
      <c r="B92" s="168"/>
      <c r="C92" s="188"/>
      <c r="D92" s="252"/>
      <c r="E92" s="253"/>
      <c r="F92" s="254"/>
      <c r="G92" s="255"/>
      <c r="H92" s="256"/>
      <c r="I92" s="216" t="s">
        <v>431</v>
      </c>
      <c r="J92" s="257">
        <v>1200000</v>
      </c>
      <c r="K92" s="100" t="s">
        <v>468</v>
      </c>
      <c r="L92" s="122" t="s">
        <v>469</v>
      </c>
      <c r="M92" s="101">
        <v>10</v>
      </c>
      <c r="N92" s="101" t="s">
        <v>506</v>
      </c>
      <c r="O92" s="123" t="s">
        <v>460</v>
      </c>
      <c r="P92" s="257">
        <f>SUM(J92*M92)</f>
        <v>12000000</v>
      </c>
      <c r="Q92" s="125" t="s">
        <v>468</v>
      </c>
    </row>
    <row r="93" spans="1:32" ht="15.95" customHeight="1">
      <c r="A93" s="90"/>
      <c r="B93" s="104"/>
      <c r="C93" s="258"/>
      <c r="D93" s="259"/>
      <c r="E93" s="260"/>
      <c r="F93" s="261"/>
      <c r="G93" s="262">
        <f>+E93-D93</f>
        <v>0</v>
      </c>
      <c r="H93" s="263" t="e">
        <f>+G93/D93*100</f>
        <v>#DIV/0!</v>
      </c>
      <c r="I93" s="175" t="s">
        <v>268</v>
      </c>
      <c r="J93" s="264">
        <v>350000</v>
      </c>
      <c r="K93" s="160" t="s">
        <v>468</v>
      </c>
      <c r="L93" s="161" t="s">
        <v>469</v>
      </c>
      <c r="M93" s="163">
        <v>2</v>
      </c>
      <c r="N93" s="163" t="s">
        <v>467</v>
      </c>
      <c r="O93" s="167" t="s">
        <v>460</v>
      </c>
      <c r="P93" s="264">
        <f>SUM(J93*M93)</f>
        <v>700000</v>
      </c>
      <c r="Q93" s="164" t="s">
        <v>468</v>
      </c>
    </row>
    <row r="94" spans="1:32" ht="15.95" customHeight="1">
      <c r="A94" s="90"/>
      <c r="B94" s="104"/>
      <c r="C94" s="265" t="s">
        <v>286</v>
      </c>
      <c r="D94" s="266">
        <v>18000</v>
      </c>
      <c r="E94" s="267">
        <f>+P94/1000</f>
        <v>18000</v>
      </c>
      <c r="F94" s="136">
        <v>8000</v>
      </c>
      <c r="G94" s="268">
        <f>+E94-D94</f>
        <v>0</v>
      </c>
      <c r="H94" s="269">
        <f>+G94/D94*100</f>
        <v>0</v>
      </c>
      <c r="I94" s="144"/>
      <c r="J94" s="251"/>
      <c r="K94" s="112"/>
      <c r="L94" s="214"/>
      <c r="M94" s="138" t="s">
        <v>473</v>
      </c>
      <c r="N94" s="138"/>
      <c r="O94" s="138"/>
      <c r="P94" s="251">
        <f>SUM(P95:P96)</f>
        <v>18000000</v>
      </c>
      <c r="Q94" s="114" t="s">
        <v>468</v>
      </c>
    </row>
    <row r="95" spans="1:32" ht="15.95" customHeight="1">
      <c r="A95" s="90"/>
      <c r="B95" s="104"/>
      <c r="C95" s="270"/>
      <c r="D95" s="271"/>
      <c r="E95" s="272"/>
      <c r="F95" s="141"/>
      <c r="G95" s="273">
        <f>+E95-D95</f>
        <v>0</v>
      </c>
      <c r="H95" s="274" t="e">
        <f>+G95/D95*100</f>
        <v>#DIV/0!</v>
      </c>
      <c r="I95" s="173" t="s">
        <v>433</v>
      </c>
      <c r="J95" s="257">
        <v>7000000</v>
      </c>
      <c r="K95" s="100" t="s">
        <v>468</v>
      </c>
      <c r="L95" s="122" t="s">
        <v>469</v>
      </c>
      <c r="M95" s="101">
        <v>1</v>
      </c>
      <c r="N95" s="101" t="s">
        <v>509</v>
      </c>
      <c r="O95" s="123" t="s">
        <v>460</v>
      </c>
      <c r="P95" s="257">
        <f>SUM(J95*M95)</f>
        <v>7000000</v>
      </c>
      <c r="Q95" s="125" t="s">
        <v>468</v>
      </c>
    </row>
    <row r="96" spans="1:32" ht="15.95" customHeight="1">
      <c r="A96" s="90"/>
      <c r="B96" s="104"/>
      <c r="C96" s="275"/>
      <c r="D96" s="276"/>
      <c r="E96" s="277"/>
      <c r="F96" s="147"/>
      <c r="G96" s="278"/>
      <c r="H96" s="279"/>
      <c r="I96" s="280" t="s">
        <v>436</v>
      </c>
      <c r="J96" s="264">
        <v>11000000</v>
      </c>
      <c r="K96" s="160" t="s">
        <v>468</v>
      </c>
      <c r="L96" s="161" t="s">
        <v>469</v>
      </c>
      <c r="M96" s="163">
        <v>1</v>
      </c>
      <c r="N96" s="163" t="s">
        <v>509</v>
      </c>
      <c r="O96" s="167" t="s">
        <v>460</v>
      </c>
      <c r="P96" s="264">
        <f>SUM(J96*M96)</f>
        <v>11000000</v>
      </c>
      <c r="Q96" s="164" t="s">
        <v>468</v>
      </c>
    </row>
    <row r="97" spans="1:17" ht="15.95" customHeight="1">
      <c r="A97" s="281" t="s">
        <v>490</v>
      </c>
      <c r="B97" s="168" t="s">
        <v>422</v>
      </c>
      <c r="C97" s="218" t="s">
        <v>233</v>
      </c>
      <c r="D97" s="266">
        <v>54700</v>
      </c>
      <c r="E97" s="267">
        <f>+P97/1000</f>
        <v>54700</v>
      </c>
      <c r="F97" s="136">
        <v>50112</v>
      </c>
      <c r="G97" s="268">
        <f>+E97-D97</f>
        <v>0</v>
      </c>
      <c r="H97" s="269">
        <f>+G97/D97*100</f>
        <v>0</v>
      </c>
      <c r="I97" s="144"/>
      <c r="J97" s="251"/>
      <c r="K97" s="112"/>
      <c r="L97" s="214"/>
      <c r="M97" s="138" t="s">
        <v>473</v>
      </c>
      <c r="N97" s="138"/>
      <c r="O97" s="138"/>
      <c r="P97" s="251">
        <f>SUM(P98:P101)</f>
        <v>54700000</v>
      </c>
      <c r="Q97" s="114" t="s">
        <v>468</v>
      </c>
    </row>
    <row r="98" spans="1:17" ht="15.95" customHeight="1">
      <c r="A98" s="281"/>
      <c r="B98" s="91" t="s">
        <v>224</v>
      </c>
      <c r="C98" s="221"/>
      <c r="D98" s="271"/>
      <c r="E98" s="272"/>
      <c r="F98" s="141"/>
      <c r="G98" s="273">
        <f>+E98-D98</f>
        <v>0</v>
      </c>
      <c r="H98" s="274" t="e">
        <f>+G98/D98*100</f>
        <v>#DIV/0!</v>
      </c>
      <c r="I98" s="143" t="s">
        <v>444</v>
      </c>
      <c r="J98" s="257">
        <v>48000000</v>
      </c>
      <c r="K98" s="100" t="s">
        <v>468</v>
      </c>
      <c r="L98" s="122" t="s">
        <v>469</v>
      </c>
      <c r="M98" s="101">
        <v>1</v>
      </c>
      <c r="N98" s="101" t="s">
        <v>470</v>
      </c>
      <c r="O98" s="101" t="s">
        <v>460</v>
      </c>
      <c r="P98" s="257">
        <f>J98*M98</f>
        <v>48000000</v>
      </c>
      <c r="Q98" s="125" t="s">
        <v>468</v>
      </c>
    </row>
    <row r="99" spans="1:17" ht="15.95" customHeight="1">
      <c r="A99" s="90"/>
      <c r="B99" s="104"/>
      <c r="C99" s="221"/>
      <c r="D99" s="271"/>
      <c r="E99" s="272"/>
      <c r="F99" s="141"/>
      <c r="G99" s="273"/>
      <c r="H99" s="274"/>
      <c r="I99" s="143" t="s">
        <v>232</v>
      </c>
      <c r="J99" s="257">
        <v>250000</v>
      </c>
      <c r="K99" s="100" t="s">
        <v>468</v>
      </c>
      <c r="L99" s="122" t="s">
        <v>469</v>
      </c>
      <c r="M99" s="101">
        <v>12</v>
      </c>
      <c r="N99" s="101" t="s">
        <v>467</v>
      </c>
      <c r="O99" s="101" t="s">
        <v>460</v>
      </c>
      <c r="P99" s="257">
        <f>J99*M99</f>
        <v>3000000</v>
      </c>
      <c r="Q99" s="125" t="s">
        <v>468</v>
      </c>
    </row>
    <row r="100" spans="1:17" ht="15.95" customHeight="1">
      <c r="A100" s="90"/>
      <c r="B100" s="104"/>
      <c r="C100" s="221"/>
      <c r="D100" s="271"/>
      <c r="E100" s="272"/>
      <c r="F100" s="141"/>
      <c r="G100" s="273"/>
      <c r="H100" s="274"/>
      <c r="I100" s="143" t="s">
        <v>437</v>
      </c>
      <c r="J100" s="257">
        <v>2700000</v>
      </c>
      <c r="K100" s="100" t="s">
        <v>468</v>
      </c>
      <c r="L100" s="122" t="s">
        <v>469</v>
      </c>
      <c r="M100" s="101">
        <v>1</v>
      </c>
      <c r="N100" s="101" t="s">
        <v>470</v>
      </c>
      <c r="O100" s="101" t="s">
        <v>460</v>
      </c>
      <c r="P100" s="257">
        <f>J100*M100</f>
        <v>2700000</v>
      </c>
      <c r="Q100" s="125" t="s">
        <v>468</v>
      </c>
    </row>
    <row r="101" spans="1:17" ht="15.95" customHeight="1">
      <c r="A101" s="90"/>
      <c r="B101" s="104"/>
      <c r="C101" s="282"/>
      <c r="D101" s="276"/>
      <c r="E101" s="277"/>
      <c r="F101" s="147"/>
      <c r="G101" s="278">
        <f>+E101-D101</f>
        <v>0</v>
      </c>
      <c r="H101" s="279" t="e">
        <f>+G101/D101*100</f>
        <v>#DIV/0!</v>
      </c>
      <c r="I101" s="283" t="s">
        <v>442</v>
      </c>
      <c r="J101" s="284">
        <v>1000000</v>
      </c>
      <c r="K101" s="285" t="s">
        <v>468</v>
      </c>
      <c r="L101" s="286" t="s">
        <v>497</v>
      </c>
      <c r="M101" s="287">
        <v>1</v>
      </c>
      <c r="N101" s="287" t="s">
        <v>470</v>
      </c>
      <c r="O101" s="288" t="s">
        <v>460</v>
      </c>
      <c r="P101" s="284">
        <f>SUM(J101*M101)</f>
        <v>1000000</v>
      </c>
      <c r="Q101" s="289" t="s">
        <v>468</v>
      </c>
    </row>
    <row r="102" spans="1:17" ht="15.95" customHeight="1">
      <c r="A102" s="281"/>
      <c r="B102" s="168"/>
      <c r="C102" s="218" t="s">
        <v>278</v>
      </c>
      <c r="D102" s="266">
        <v>1716</v>
      </c>
      <c r="E102" s="267">
        <f>P102/1000</f>
        <v>1716</v>
      </c>
      <c r="F102" s="127"/>
      <c r="G102" s="268">
        <f>E102-D102</f>
        <v>0</v>
      </c>
      <c r="H102" s="269">
        <f>G102/D102*100</f>
        <v>0</v>
      </c>
      <c r="I102" s="196"/>
      <c r="J102" s="290"/>
      <c r="K102" s="198"/>
      <c r="L102" s="199"/>
      <c r="M102" s="291" t="s">
        <v>473</v>
      </c>
      <c r="N102" s="291"/>
      <c r="O102" s="291"/>
      <c r="P102" s="290">
        <f>SUM(P103:P103)</f>
        <v>1716000</v>
      </c>
      <c r="Q102" s="202" t="s">
        <v>468</v>
      </c>
    </row>
    <row r="103" spans="1:17" ht="15.95" customHeight="1">
      <c r="A103" s="281"/>
      <c r="B103" s="91"/>
      <c r="C103" s="116"/>
      <c r="D103" s="271"/>
      <c r="E103" s="272"/>
      <c r="F103" s="127"/>
      <c r="G103" s="273"/>
      <c r="H103" s="274"/>
      <c r="I103" s="196" t="s">
        <v>234</v>
      </c>
      <c r="J103" s="257">
        <v>143000</v>
      </c>
      <c r="K103" s="100" t="s">
        <v>468</v>
      </c>
      <c r="L103" s="122" t="s">
        <v>469</v>
      </c>
      <c r="M103" s="101">
        <v>12</v>
      </c>
      <c r="N103" s="101" t="s">
        <v>472</v>
      </c>
      <c r="O103" s="101" t="s">
        <v>460</v>
      </c>
      <c r="P103" s="257">
        <f>J103*M103</f>
        <v>1716000</v>
      </c>
      <c r="Q103" s="125" t="s">
        <v>468</v>
      </c>
    </row>
    <row r="104" spans="1:17" ht="15" customHeight="1">
      <c r="A104" s="90"/>
      <c r="B104" s="104"/>
      <c r="C104" s="105" t="s">
        <v>185</v>
      </c>
      <c r="D104" s="266">
        <v>40990</v>
      </c>
      <c r="E104" s="267">
        <f>P104/1000</f>
        <v>32740</v>
      </c>
      <c r="F104" s="127"/>
      <c r="G104" s="268">
        <f>E104-D104</f>
        <v>-8250</v>
      </c>
      <c r="H104" s="269">
        <f>G104/D104*100</f>
        <v>-20.126860209807269</v>
      </c>
      <c r="I104" s="171"/>
      <c r="J104" s="111"/>
      <c r="K104" s="112"/>
      <c r="L104" s="214"/>
      <c r="M104" s="138" t="s">
        <v>473</v>
      </c>
      <c r="N104" s="138"/>
      <c r="O104" s="138"/>
      <c r="P104" s="111">
        <f>SUM(P105:P110)</f>
        <v>32740000</v>
      </c>
      <c r="Q104" s="114" t="s">
        <v>468</v>
      </c>
    </row>
    <row r="105" spans="1:17" ht="15" customHeight="1">
      <c r="A105" s="90"/>
      <c r="B105" s="104"/>
      <c r="C105" s="116"/>
      <c r="D105" s="271"/>
      <c r="E105" s="272"/>
      <c r="F105" s="127"/>
      <c r="G105" s="273"/>
      <c r="H105" s="274"/>
      <c r="I105" s="292" t="s">
        <v>515</v>
      </c>
      <c r="J105" s="290">
        <v>4300000</v>
      </c>
      <c r="K105" s="198" t="s">
        <v>468</v>
      </c>
      <c r="L105" s="199" t="s">
        <v>469</v>
      </c>
      <c r="M105" s="200">
        <v>1</v>
      </c>
      <c r="N105" s="200" t="s">
        <v>467</v>
      </c>
      <c r="O105" s="101" t="s">
        <v>460</v>
      </c>
      <c r="P105" s="257">
        <f>SUM(J105*M105)</f>
        <v>4300000</v>
      </c>
      <c r="Q105" s="125" t="s">
        <v>468</v>
      </c>
    </row>
    <row r="106" spans="1:17" ht="15" customHeight="1">
      <c r="A106" s="90"/>
      <c r="B106" s="104"/>
      <c r="C106" s="116"/>
      <c r="D106" s="271"/>
      <c r="E106" s="272"/>
      <c r="F106" s="127"/>
      <c r="G106" s="273"/>
      <c r="H106" s="274"/>
      <c r="I106" s="292" t="s">
        <v>250</v>
      </c>
      <c r="J106" s="290">
        <v>400000</v>
      </c>
      <c r="K106" s="198" t="s">
        <v>468</v>
      </c>
      <c r="L106" s="199" t="s">
        <v>469</v>
      </c>
      <c r="M106" s="200">
        <v>1</v>
      </c>
      <c r="N106" s="200" t="s">
        <v>467</v>
      </c>
      <c r="O106" s="101" t="s">
        <v>460</v>
      </c>
      <c r="P106" s="257">
        <f>SUM(J106*M106)</f>
        <v>400000</v>
      </c>
      <c r="Q106" s="125" t="s">
        <v>468</v>
      </c>
    </row>
    <row r="107" spans="1:17" ht="15" customHeight="1">
      <c r="A107" s="90"/>
      <c r="B107" s="104"/>
      <c r="C107" s="116"/>
      <c r="D107" s="271"/>
      <c r="E107" s="272"/>
      <c r="F107" s="127"/>
      <c r="G107" s="273"/>
      <c r="H107" s="274"/>
      <c r="I107" s="292" t="s">
        <v>218</v>
      </c>
      <c r="J107" s="290">
        <v>0</v>
      </c>
      <c r="K107" s="198" t="s">
        <v>468</v>
      </c>
      <c r="L107" s="199" t="s">
        <v>469</v>
      </c>
      <c r="M107" s="200">
        <v>1</v>
      </c>
      <c r="N107" s="200" t="s">
        <v>467</v>
      </c>
      <c r="O107" s="101" t="s">
        <v>460</v>
      </c>
      <c r="P107" s="257">
        <f>SUM(J107*M107)</f>
        <v>0</v>
      </c>
      <c r="Q107" s="125" t="s">
        <v>468</v>
      </c>
    </row>
    <row r="108" spans="1:17" ht="15" customHeight="1">
      <c r="A108" s="90"/>
      <c r="B108" s="104"/>
      <c r="C108" s="116"/>
      <c r="D108" s="271"/>
      <c r="E108" s="272"/>
      <c r="F108" s="127"/>
      <c r="G108" s="273"/>
      <c r="H108" s="274"/>
      <c r="I108" s="292" t="s">
        <v>325</v>
      </c>
      <c r="J108" s="290">
        <v>320000</v>
      </c>
      <c r="K108" s="198" t="s">
        <v>468</v>
      </c>
      <c r="L108" s="199" t="s">
        <v>469</v>
      </c>
      <c r="M108" s="200">
        <v>2</v>
      </c>
      <c r="N108" s="200" t="s">
        <v>467</v>
      </c>
      <c r="O108" s="101" t="s">
        <v>460</v>
      </c>
      <c r="P108" s="257">
        <f>SUM(J108*M108)</f>
        <v>640000</v>
      </c>
      <c r="Q108" s="125" t="s">
        <v>468</v>
      </c>
    </row>
    <row r="109" spans="1:17" ht="15.95" customHeight="1">
      <c r="A109" s="90"/>
      <c r="B109" s="104"/>
      <c r="C109" s="116"/>
      <c r="D109" s="271"/>
      <c r="E109" s="272"/>
      <c r="F109" s="127"/>
      <c r="G109" s="273"/>
      <c r="H109" s="274"/>
      <c r="I109" s="293" t="s">
        <v>332</v>
      </c>
      <c r="J109" s="290">
        <v>400000</v>
      </c>
      <c r="K109" s="198" t="s">
        <v>468</v>
      </c>
      <c r="L109" s="199" t="s">
        <v>469</v>
      </c>
      <c r="M109" s="200">
        <v>10</v>
      </c>
      <c r="N109" s="200" t="s">
        <v>467</v>
      </c>
      <c r="O109" s="101" t="s">
        <v>460</v>
      </c>
      <c r="P109" s="257">
        <f>SUM(J109*M109)</f>
        <v>4000000</v>
      </c>
      <c r="Q109" s="125" t="s">
        <v>468</v>
      </c>
    </row>
    <row r="110" spans="1:17" ht="15.95" customHeight="1">
      <c r="A110" s="90"/>
      <c r="B110" s="104"/>
      <c r="C110" s="128"/>
      <c r="D110" s="276"/>
      <c r="E110" s="277"/>
      <c r="F110" s="127"/>
      <c r="G110" s="278"/>
      <c r="H110" s="279"/>
      <c r="I110" s="292" t="s">
        <v>209</v>
      </c>
      <c r="J110" s="290">
        <v>1950000</v>
      </c>
      <c r="K110" s="198" t="s">
        <v>468</v>
      </c>
      <c r="L110" s="199" t="s">
        <v>469</v>
      </c>
      <c r="M110" s="200">
        <v>12</v>
      </c>
      <c r="N110" s="200" t="s">
        <v>467</v>
      </c>
      <c r="O110" s="101" t="s">
        <v>460</v>
      </c>
      <c r="P110" s="257">
        <v>23400000</v>
      </c>
      <c r="Q110" s="125" t="s">
        <v>468</v>
      </c>
    </row>
    <row r="111" spans="1:17" ht="15.95" customHeight="1">
      <c r="A111" s="90"/>
      <c r="B111" s="104"/>
      <c r="C111" s="105" t="s">
        <v>165</v>
      </c>
      <c r="D111" s="266">
        <v>250</v>
      </c>
      <c r="E111" s="267">
        <f>P111/1000</f>
        <v>250</v>
      </c>
      <c r="F111" s="127"/>
      <c r="G111" s="268">
        <f>E111-D111</f>
        <v>0</v>
      </c>
      <c r="H111" s="269">
        <f>G111/D111*100</f>
        <v>0</v>
      </c>
      <c r="I111" s="171"/>
      <c r="J111" s="111"/>
      <c r="K111" s="112"/>
      <c r="L111" s="214"/>
      <c r="M111" s="138" t="s">
        <v>473</v>
      </c>
      <c r="N111" s="138"/>
      <c r="O111" s="138"/>
      <c r="P111" s="111">
        <f>SUM(P112:P112)</f>
        <v>250000</v>
      </c>
      <c r="Q111" s="114" t="s">
        <v>468</v>
      </c>
    </row>
    <row r="112" spans="1:17" ht="15.95" customHeight="1">
      <c r="A112" s="90"/>
      <c r="B112" s="166"/>
      <c r="C112" s="128"/>
      <c r="D112" s="276"/>
      <c r="E112" s="277"/>
      <c r="F112" s="127"/>
      <c r="G112" s="278"/>
      <c r="H112" s="279"/>
      <c r="I112" s="294" t="s">
        <v>165</v>
      </c>
      <c r="J112" s="284">
        <v>50000</v>
      </c>
      <c r="K112" s="285" t="s">
        <v>468</v>
      </c>
      <c r="L112" s="286" t="s">
        <v>469</v>
      </c>
      <c r="M112" s="287">
        <v>5</v>
      </c>
      <c r="N112" s="287" t="s">
        <v>467</v>
      </c>
      <c r="O112" s="163" t="s">
        <v>460</v>
      </c>
      <c r="P112" s="264">
        <f>SUM(J112*M112)</f>
        <v>250000</v>
      </c>
      <c r="Q112" s="164" t="s">
        <v>468</v>
      </c>
    </row>
    <row r="113" spans="1:17" ht="20.100000000000001" customHeight="1">
      <c r="A113" s="281"/>
      <c r="B113" s="178" t="s">
        <v>208</v>
      </c>
      <c r="C113" s="295" t="s">
        <v>4</v>
      </c>
      <c r="D113" s="296">
        <f>SUM(D114:D129)</f>
        <v>116300</v>
      </c>
      <c r="E113" s="297">
        <f>P113/1000</f>
        <v>116300</v>
      </c>
      <c r="F113" s="298">
        <f>SUM(F114:F132)</f>
        <v>161152</v>
      </c>
      <c r="G113" s="299">
        <f>+E113-D113</f>
        <v>0</v>
      </c>
      <c r="H113" s="300">
        <f>+G113/D113*100</f>
        <v>0</v>
      </c>
      <c r="I113" s="301"/>
      <c r="J113" s="241"/>
      <c r="K113" s="242"/>
      <c r="L113" s="242"/>
      <c r="M113" s="244"/>
      <c r="N113" s="244"/>
      <c r="O113" s="244"/>
      <c r="P113" s="302">
        <f>SUM(P114,P117,P121,P125,P128)</f>
        <v>116300000</v>
      </c>
      <c r="Q113" s="102" t="s">
        <v>468</v>
      </c>
    </row>
    <row r="114" spans="1:17" ht="15.75" customHeight="1">
      <c r="A114" s="90"/>
      <c r="B114" s="91"/>
      <c r="C114" s="105" t="s">
        <v>124</v>
      </c>
      <c r="D114" s="266">
        <v>36620</v>
      </c>
      <c r="E114" s="267">
        <f>+P114/1000</f>
        <v>36620</v>
      </c>
      <c r="F114" s="136">
        <v>96000</v>
      </c>
      <c r="G114" s="268">
        <f>+E114-D114</f>
        <v>0</v>
      </c>
      <c r="H114" s="269">
        <f>+G114/D114*100</f>
        <v>0</v>
      </c>
      <c r="I114" s="171"/>
      <c r="J114" s="251"/>
      <c r="K114" s="112"/>
      <c r="L114" s="214"/>
      <c r="M114" s="138" t="s">
        <v>473</v>
      </c>
      <c r="N114" s="138"/>
      <c r="O114" s="138"/>
      <c r="P114" s="185">
        <f>SUM(P115:P116)</f>
        <v>36620000</v>
      </c>
      <c r="Q114" s="114" t="s">
        <v>468</v>
      </c>
    </row>
    <row r="115" spans="1:17" ht="15.75" customHeight="1">
      <c r="A115" s="90"/>
      <c r="B115" s="104"/>
      <c r="C115" s="116"/>
      <c r="D115" s="271"/>
      <c r="E115" s="272"/>
      <c r="F115" s="141"/>
      <c r="G115" s="273"/>
      <c r="H115" s="274"/>
      <c r="I115" s="173" t="s">
        <v>539</v>
      </c>
      <c r="J115" s="257">
        <v>10000</v>
      </c>
      <c r="K115" s="100" t="s">
        <v>468</v>
      </c>
      <c r="L115" s="122" t="s">
        <v>469</v>
      </c>
      <c r="M115" s="101">
        <v>2</v>
      </c>
      <c r="N115" s="101" t="s">
        <v>467</v>
      </c>
      <c r="O115" s="101" t="s">
        <v>460</v>
      </c>
      <c r="P115" s="189">
        <v>20000</v>
      </c>
      <c r="Q115" s="125" t="s">
        <v>468</v>
      </c>
    </row>
    <row r="116" spans="1:17" ht="15.75" customHeight="1">
      <c r="A116" s="90"/>
      <c r="B116" s="104"/>
      <c r="C116" s="128"/>
      <c r="D116" s="276"/>
      <c r="E116" s="277"/>
      <c r="F116" s="147"/>
      <c r="G116" s="278"/>
      <c r="H116" s="279"/>
      <c r="I116" s="303" t="s">
        <v>96</v>
      </c>
      <c r="J116" s="284">
        <v>9150000</v>
      </c>
      <c r="K116" s="285" t="s">
        <v>468</v>
      </c>
      <c r="L116" s="286" t="s">
        <v>469</v>
      </c>
      <c r="M116" s="287">
        <v>4</v>
      </c>
      <c r="N116" s="287" t="s">
        <v>467</v>
      </c>
      <c r="O116" s="288" t="s">
        <v>460</v>
      </c>
      <c r="P116" s="284">
        <f>SUM(J116*M116)</f>
        <v>36600000</v>
      </c>
      <c r="Q116" s="289" t="s">
        <v>468</v>
      </c>
    </row>
    <row r="117" spans="1:17" ht="15.75" customHeight="1">
      <c r="A117" s="90"/>
      <c r="B117" s="104"/>
      <c r="C117" s="304" t="s">
        <v>17</v>
      </c>
      <c r="D117" s="25">
        <v>18220</v>
      </c>
      <c r="E117" s="27">
        <f>+P117/1000</f>
        <v>18220</v>
      </c>
      <c r="F117" s="153">
        <v>11052</v>
      </c>
      <c r="G117" s="24">
        <f>+E117-D117</f>
        <v>0</v>
      </c>
      <c r="H117" s="28">
        <f>+G117/D117*100</f>
        <v>0</v>
      </c>
      <c r="I117" s="144"/>
      <c r="J117" s="251"/>
      <c r="K117" s="112"/>
      <c r="L117" s="214"/>
      <c r="M117" s="138" t="s">
        <v>473</v>
      </c>
      <c r="N117" s="138"/>
      <c r="O117" s="138"/>
      <c r="P117" s="251">
        <f>SUM(P118:P120)</f>
        <v>18220000</v>
      </c>
      <c r="Q117" s="114" t="s">
        <v>468</v>
      </c>
    </row>
    <row r="118" spans="1:17" ht="15.75" customHeight="1">
      <c r="A118" s="90"/>
      <c r="B118" s="104"/>
      <c r="C118" s="304"/>
      <c r="D118" s="25"/>
      <c r="E118" s="27"/>
      <c r="F118" s="153"/>
      <c r="G118" s="24">
        <f>+E118-D118</f>
        <v>0</v>
      </c>
      <c r="H118" s="28" t="e">
        <f>+G118/D118*100</f>
        <v>#DIV/0!</v>
      </c>
      <c r="I118" s="143" t="s">
        <v>539</v>
      </c>
      <c r="J118" s="257">
        <v>10000</v>
      </c>
      <c r="K118" s="100" t="s">
        <v>468</v>
      </c>
      <c r="L118" s="122" t="s">
        <v>497</v>
      </c>
      <c r="M118" s="101">
        <v>2</v>
      </c>
      <c r="N118" s="101" t="s">
        <v>467</v>
      </c>
      <c r="O118" s="101" t="s">
        <v>460</v>
      </c>
      <c r="P118" s="257">
        <f>SUM(J118*M118)</f>
        <v>20000</v>
      </c>
      <c r="Q118" s="125" t="s">
        <v>468</v>
      </c>
    </row>
    <row r="119" spans="1:17" ht="15.75" customHeight="1">
      <c r="A119" s="90"/>
      <c r="B119" s="104"/>
      <c r="C119" s="304"/>
      <c r="D119" s="25"/>
      <c r="E119" s="27"/>
      <c r="F119" s="153"/>
      <c r="G119" s="24"/>
      <c r="H119" s="28"/>
      <c r="I119" s="143" t="s">
        <v>357</v>
      </c>
      <c r="J119" s="257">
        <v>1600000</v>
      </c>
      <c r="K119" s="100" t="s">
        <v>468</v>
      </c>
      <c r="L119" s="122" t="s">
        <v>469</v>
      </c>
      <c r="M119" s="101">
        <v>2</v>
      </c>
      <c r="N119" s="101" t="s">
        <v>467</v>
      </c>
      <c r="O119" s="101" t="s">
        <v>460</v>
      </c>
      <c r="P119" s="257">
        <f>SUM(J119*M119)</f>
        <v>3200000</v>
      </c>
      <c r="Q119" s="125" t="s">
        <v>468</v>
      </c>
    </row>
    <row r="120" spans="1:17" ht="15.75" customHeight="1">
      <c r="A120" s="90"/>
      <c r="B120" s="104"/>
      <c r="C120" s="304"/>
      <c r="D120" s="25"/>
      <c r="E120" s="27"/>
      <c r="F120" s="153"/>
      <c r="G120" s="24"/>
      <c r="H120" s="28"/>
      <c r="I120" s="143" t="s">
        <v>262</v>
      </c>
      <c r="J120" s="257">
        <v>1500000</v>
      </c>
      <c r="K120" s="100" t="s">
        <v>468</v>
      </c>
      <c r="L120" s="122" t="s">
        <v>469</v>
      </c>
      <c r="M120" s="101">
        <v>10</v>
      </c>
      <c r="N120" s="101" t="s">
        <v>467</v>
      </c>
      <c r="O120" s="101"/>
      <c r="P120" s="257">
        <f>SUM(J120*M120)</f>
        <v>15000000</v>
      </c>
      <c r="Q120" s="125" t="s">
        <v>468</v>
      </c>
    </row>
    <row r="121" spans="1:17" ht="15.95" customHeight="1">
      <c r="A121" s="281"/>
      <c r="B121" s="91"/>
      <c r="C121" s="105" t="s">
        <v>90</v>
      </c>
      <c r="D121" s="266">
        <v>23020</v>
      </c>
      <c r="E121" s="267">
        <f>+P121/1000</f>
        <v>23020</v>
      </c>
      <c r="F121" s="153">
        <v>20000</v>
      </c>
      <c r="G121" s="268">
        <f>+E121-D121</f>
        <v>0</v>
      </c>
      <c r="H121" s="305">
        <f>+G121/D121*100</f>
        <v>0</v>
      </c>
      <c r="I121" s="144"/>
      <c r="J121" s="251"/>
      <c r="K121" s="112"/>
      <c r="L121" s="214"/>
      <c r="M121" s="138" t="s">
        <v>473</v>
      </c>
      <c r="N121" s="138"/>
      <c r="O121" s="138"/>
      <c r="P121" s="251">
        <f>SUM(P122:P124)</f>
        <v>23020000</v>
      </c>
      <c r="Q121" s="114" t="s">
        <v>468</v>
      </c>
    </row>
    <row r="122" spans="1:17" ht="15.95" customHeight="1">
      <c r="A122" s="90"/>
      <c r="B122" s="91"/>
      <c r="C122" s="116"/>
      <c r="D122" s="271"/>
      <c r="E122" s="272"/>
      <c r="F122" s="153"/>
      <c r="G122" s="273"/>
      <c r="H122" s="306"/>
      <c r="I122" s="143" t="s">
        <v>75</v>
      </c>
      <c r="J122" s="257">
        <v>10000</v>
      </c>
      <c r="K122" s="100" t="s">
        <v>468</v>
      </c>
      <c r="L122" s="122" t="s">
        <v>469</v>
      </c>
      <c r="M122" s="101">
        <v>2</v>
      </c>
      <c r="N122" s="101" t="s">
        <v>467</v>
      </c>
      <c r="O122" s="123" t="s">
        <v>460</v>
      </c>
      <c r="P122" s="257">
        <f>SUM(J122*M122)</f>
        <v>20000</v>
      </c>
      <c r="Q122" s="125" t="s">
        <v>468</v>
      </c>
    </row>
    <row r="123" spans="1:17" ht="15.95" customHeight="1">
      <c r="A123" s="90"/>
      <c r="B123" s="307"/>
      <c r="C123" s="116"/>
      <c r="D123" s="271"/>
      <c r="E123" s="272"/>
      <c r="F123" s="153"/>
      <c r="G123" s="273"/>
      <c r="H123" s="306"/>
      <c r="I123" s="143" t="s">
        <v>41</v>
      </c>
      <c r="J123" s="257">
        <v>4000000</v>
      </c>
      <c r="K123" s="100" t="s">
        <v>468</v>
      </c>
      <c r="L123" s="122" t="s">
        <v>469</v>
      </c>
      <c r="M123" s="101">
        <v>2</v>
      </c>
      <c r="N123" s="101" t="s">
        <v>467</v>
      </c>
      <c r="O123" s="123" t="s">
        <v>460</v>
      </c>
      <c r="P123" s="257">
        <f>SUM(J123*M123)</f>
        <v>8000000</v>
      </c>
      <c r="Q123" s="125" t="s">
        <v>468</v>
      </c>
    </row>
    <row r="124" spans="1:17" ht="15.95" customHeight="1">
      <c r="A124" s="90"/>
      <c r="B124" s="307"/>
      <c r="C124" s="128"/>
      <c r="D124" s="276"/>
      <c r="E124" s="277"/>
      <c r="F124" s="108"/>
      <c r="G124" s="278"/>
      <c r="H124" s="308"/>
      <c r="I124" s="143" t="s">
        <v>228</v>
      </c>
      <c r="J124" s="257">
        <v>7500000</v>
      </c>
      <c r="K124" s="100" t="s">
        <v>468</v>
      </c>
      <c r="L124" s="122" t="s">
        <v>469</v>
      </c>
      <c r="M124" s="101">
        <v>2</v>
      </c>
      <c r="N124" s="101" t="s">
        <v>467</v>
      </c>
      <c r="O124" s="123" t="s">
        <v>460</v>
      </c>
      <c r="P124" s="257">
        <f>SUM(J124*M124)</f>
        <v>15000000</v>
      </c>
      <c r="Q124" s="100" t="s">
        <v>468</v>
      </c>
    </row>
    <row r="125" spans="1:17" ht="15.95" customHeight="1">
      <c r="A125" s="90"/>
      <c r="B125" s="307"/>
      <c r="C125" s="105" t="s">
        <v>29</v>
      </c>
      <c r="D125" s="266">
        <v>20420</v>
      </c>
      <c r="E125" s="267">
        <f>+P125/1000</f>
        <v>20420</v>
      </c>
      <c r="F125" s="108"/>
      <c r="G125" s="268">
        <f>+E125-D125</f>
        <v>0</v>
      </c>
      <c r="H125" s="309">
        <f>+G125/D125*100</f>
        <v>0</v>
      </c>
      <c r="I125" s="144"/>
      <c r="J125" s="251"/>
      <c r="K125" s="112"/>
      <c r="L125" s="214"/>
      <c r="M125" s="138" t="s">
        <v>473</v>
      </c>
      <c r="N125" s="138"/>
      <c r="O125" s="138"/>
      <c r="P125" s="251">
        <f>SUM(P126:P127)</f>
        <v>20420000</v>
      </c>
      <c r="Q125" s="112" t="s">
        <v>468</v>
      </c>
    </row>
    <row r="126" spans="1:17" ht="15.95" customHeight="1">
      <c r="A126" s="90"/>
      <c r="B126" s="104"/>
      <c r="C126" s="116"/>
      <c r="D126" s="271"/>
      <c r="E126" s="272"/>
      <c r="F126" s="310">
        <v>16000</v>
      </c>
      <c r="G126" s="273"/>
      <c r="H126" s="311"/>
      <c r="I126" s="143" t="s">
        <v>75</v>
      </c>
      <c r="J126" s="257">
        <v>10000</v>
      </c>
      <c r="K126" s="100" t="s">
        <v>468</v>
      </c>
      <c r="L126" s="122" t="s">
        <v>469</v>
      </c>
      <c r="M126" s="101">
        <v>2</v>
      </c>
      <c r="N126" s="101" t="s">
        <v>467</v>
      </c>
      <c r="O126" s="123" t="s">
        <v>460</v>
      </c>
      <c r="P126" s="257">
        <f>SUM(J126*M126)</f>
        <v>20000</v>
      </c>
      <c r="Q126" s="100" t="s">
        <v>468</v>
      </c>
    </row>
    <row r="127" spans="1:17" ht="15.95" customHeight="1">
      <c r="A127" s="90"/>
      <c r="B127" s="104"/>
      <c r="C127" s="128"/>
      <c r="D127" s="276"/>
      <c r="E127" s="277"/>
      <c r="F127" s="298"/>
      <c r="G127" s="278"/>
      <c r="H127" s="312"/>
      <c r="I127" s="215" t="s">
        <v>41</v>
      </c>
      <c r="J127" s="313">
        <v>5100000</v>
      </c>
      <c r="K127" s="160" t="s">
        <v>468</v>
      </c>
      <c r="L127" s="161" t="s">
        <v>469</v>
      </c>
      <c r="M127" s="163">
        <v>4</v>
      </c>
      <c r="N127" s="163" t="s">
        <v>467</v>
      </c>
      <c r="O127" s="167" t="s">
        <v>460</v>
      </c>
      <c r="P127" s="313">
        <f>SUM(J127*M127)</f>
        <v>20400000</v>
      </c>
      <c r="Q127" s="160" t="s">
        <v>468</v>
      </c>
    </row>
    <row r="128" spans="1:17" ht="15.95" customHeight="1">
      <c r="A128" s="90"/>
      <c r="B128" s="104"/>
      <c r="C128" s="170" t="s">
        <v>30</v>
      </c>
      <c r="D128" s="266">
        <v>18020</v>
      </c>
      <c r="E128" s="267">
        <f>+P128/1000</f>
        <v>18020</v>
      </c>
      <c r="F128" s="136">
        <v>18100</v>
      </c>
      <c r="G128" s="268">
        <f>+E128-D128</f>
        <v>0</v>
      </c>
      <c r="H128" s="269">
        <f>+G128/D128*100</f>
        <v>0</v>
      </c>
      <c r="I128" s="171"/>
      <c r="J128" s="251"/>
      <c r="K128" s="112"/>
      <c r="L128" s="214"/>
      <c r="M128" s="138" t="s">
        <v>473</v>
      </c>
      <c r="N128" s="138"/>
      <c r="O128" s="138"/>
      <c r="P128" s="251">
        <f>SUM(P129:P130)</f>
        <v>18020000</v>
      </c>
      <c r="Q128" s="114" t="s">
        <v>468</v>
      </c>
    </row>
    <row r="129" spans="1:17" ht="15.95" customHeight="1">
      <c r="A129" s="90"/>
      <c r="B129" s="104"/>
      <c r="C129" s="172"/>
      <c r="D129" s="271"/>
      <c r="E129" s="272"/>
      <c r="F129" s="141"/>
      <c r="G129" s="273">
        <f>+E129-D129</f>
        <v>0</v>
      </c>
      <c r="H129" s="274" t="e">
        <f>+G129/D129*100</f>
        <v>#DIV/0!</v>
      </c>
      <c r="I129" s="173" t="s">
        <v>75</v>
      </c>
      <c r="J129" s="257">
        <v>10000</v>
      </c>
      <c r="K129" s="100" t="s">
        <v>468</v>
      </c>
      <c r="L129" s="122" t="s">
        <v>469</v>
      </c>
      <c r="M129" s="101">
        <v>2</v>
      </c>
      <c r="N129" s="101" t="s">
        <v>467</v>
      </c>
      <c r="O129" s="123" t="s">
        <v>460</v>
      </c>
      <c r="P129" s="257">
        <f>SUM(J129*M129)</f>
        <v>20000</v>
      </c>
      <c r="Q129" s="125" t="s">
        <v>468</v>
      </c>
    </row>
    <row r="130" spans="1:17" ht="15.95" customHeight="1">
      <c r="A130" s="90"/>
      <c r="B130" s="166"/>
      <c r="C130" s="174"/>
      <c r="D130" s="276"/>
      <c r="E130" s="277"/>
      <c r="F130" s="147"/>
      <c r="G130" s="278">
        <f>+E130-D130</f>
        <v>0</v>
      </c>
      <c r="H130" s="279" t="e">
        <f>+G130/D130*100</f>
        <v>#DIV/0!</v>
      </c>
      <c r="I130" s="175" t="s">
        <v>96</v>
      </c>
      <c r="J130" s="264">
        <v>4500000</v>
      </c>
      <c r="K130" s="160" t="s">
        <v>468</v>
      </c>
      <c r="L130" s="161" t="s">
        <v>469</v>
      </c>
      <c r="M130" s="163">
        <v>4</v>
      </c>
      <c r="N130" s="163" t="s">
        <v>467</v>
      </c>
      <c r="O130" s="167" t="s">
        <v>460</v>
      </c>
      <c r="P130" s="264">
        <f>SUM(J130*M130)</f>
        <v>18000000</v>
      </c>
      <c r="Q130" s="164" t="s">
        <v>468</v>
      </c>
    </row>
    <row r="131" spans="1:17" ht="15.95" customHeight="1">
      <c r="A131" s="281" t="s">
        <v>490</v>
      </c>
      <c r="B131" s="314" t="s">
        <v>429</v>
      </c>
      <c r="C131" s="315" t="s">
        <v>459</v>
      </c>
      <c r="D131" s="316">
        <f>SUM(D132:D158)</f>
        <v>348519</v>
      </c>
      <c r="E131" s="316">
        <f>P131/1000</f>
        <v>369985.45500000002</v>
      </c>
      <c r="F131" s="119"/>
      <c r="G131" s="317">
        <f>E131-D131</f>
        <v>21466.455000000016</v>
      </c>
      <c r="H131" s="318">
        <f>G131/D131*100</f>
        <v>6.159335645976264</v>
      </c>
      <c r="I131" s="173"/>
      <c r="J131" s="257"/>
      <c r="K131" s="100"/>
      <c r="L131" s="122"/>
      <c r="M131" s="244"/>
      <c r="N131" s="244"/>
      <c r="O131" s="244"/>
      <c r="P131" s="257">
        <f>SUM(P132,P149,P152,P154)</f>
        <v>369985455</v>
      </c>
      <c r="Q131" s="164" t="s">
        <v>468</v>
      </c>
    </row>
    <row r="132" spans="1:17" ht="15.95" customHeight="1">
      <c r="A132" s="90"/>
      <c r="B132" s="234"/>
      <c r="C132" s="105" t="s">
        <v>177</v>
      </c>
      <c r="D132" s="266">
        <v>40800</v>
      </c>
      <c r="E132" s="267">
        <f>+P132/1000</f>
        <v>40800</v>
      </c>
      <c r="F132" s="136">
        <v>0</v>
      </c>
      <c r="G132" s="268">
        <f>+E132-D132</f>
        <v>0</v>
      </c>
      <c r="H132" s="269">
        <f>G132/D132*100</f>
        <v>0</v>
      </c>
      <c r="I132" s="171"/>
      <c r="J132" s="251"/>
      <c r="K132" s="112"/>
      <c r="L132" s="214"/>
      <c r="M132" s="138" t="s">
        <v>473</v>
      </c>
      <c r="N132" s="138"/>
      <c r="O132" s="138"/>
      <c r="P132" s="251">
        <f>SUM(P133,P136,P140,P147)</f>
        <v>40800000</v>
      </c>
      <c r="Q132" s="114" t="s">
        <v>468</v>
      </c>
    </row>
    <row r="133" spans="1:17" ht="15.95" customHeight="1">
      <c r="A133" s="90"/>
      <c r="B133" s="168"/>
      <c r="C133" s="116"/>
      <c r="D133" s="271"/>
      <c r="E133" s="272"/>
      <c r="F133" s="141"/>
      <c r="G133" s="273"/>
      <c r="H133" s="274"/>
      <c r="I133" s="319" t="s">
        <v>443</v>
      </c>
      <c r="J133" s="257"/>
      <c r="K133" s="100"/>
      <c r="L133" s="122"/>
      <c r="M133" s="101"/>
      <c r="N133" s="101"/>
      <c r="O133" s="123"/>
      <c r="P133" s="257">
        <f>SUM(P134:P135)</f>
        <v>13550000</v>
      </c>
      <c r="Q133" s="212" t="s">
        <v>468</v>
      </c>
    </row>
    <row r="134" spans="1:17" ht="15.95" customHeight="1">
      <c r="A134" s="90"/>
      <c r="B134" s="168"/>
      <c r="C134" s="116"/>
      <c r="D134" s="271"/>
      <c r="E134" s="272"/>
      <c r="F134" s="141"/>
      <c r="G134" s="273"/>
      <c r="H134" s="274"/>
      <c r="I134" s="173" t="s">
        <v>238</v>
      </c>
      <c r="J134" s="257">
        <v>50000</v>
      </c>
      <c r="K134" s="100" t="s">
        <v>468</v>
      </c>
      <c r="L134" s="122" t="s">
        <v>469</v>
      </c>
      <c r="M134" s="101">
        <v>4</v>
      </c>
      <c r="N134" s="101" t="s">
        <v>467</v>
      </c>
      <c r="O134" s="123" t="s">
        <v>460</v>
      </c>
      <c r="P134" s="257">
        <f>SUM(J134*M134)</f>
        <v>200000</v>
      </c>
      <c r="Q134" s="125" t="s">
        <v>468</v>
      </c>
    </row>
    <row r="135" spans="1:17" ht="15.95" customHeight="1">
      <c r="A135" s="90"/>
      <c r="B135" s="168"/>
      <c r="C135" s="116"/>
      <c r="D135" s="271"/>
      <c r="E135" s="272"/>
      <c r="F135" s="141"/>
      <c r="G135" s="273"/>
      <c r="H135" s="274"/>
      <c r="I135" s="216" t="s">
        <v>301</v>
      </c>
      <c r="J135" s="257">
        <v>13350000</v>
      </c>
      <c r="K135" s="100" t="s">
        <v>468</v>
      </c>
      <c r="L135" s="122" t="s">
        <v>469</v>
      </c>
      <c r="M135" s="101">
        <v>1</v>
      </c>
      <c r="N135" s="101" t="s">
        <v>467</v>
      </c>
      <c r="O135" s="123" t="s">
        <v>460</v>
      </c>
      <c r="P135" s="257">
        <f>SUM(J135*M135)</f>
        <v>13350000</v>
      </c>
      <c r="Q135" s="125" t="s">
        <v>468</v>
      </c>
    </row>
    <row r="136" spans="1:17" ht="15.95" customHeight="1">
      <c r="A136" s="90"/>
      <c r="B136" s="168"/>
      <c r="C136" s="116"/>
      <c r="D136" s="271"/>
      <c r="E136" s="272"/>
      <c r="F136" s="141"/>
      <c r="G136" s="273"/>
      <c r="H136" s="274"/>
      <c r="I136" s="319" t="s">
        <v>241</v>
      </c>
      <c r="J136" s="257"/>
      <c r="K136" s="100"/>
      <c r="L136" s="122"/>
      <c r="M136" s="101"/>
      <c r="N136" s="101"/>
      <c r="O136" s="123"/>
      <c r="P136" s="257">
        <f>SUM(P137:P139)</f>
        <v>10250000</v>
      </c>
      <c r="Q136" s="212" t="s">
        <v>468</v>
      </c>
    </row>
    <row r="137" spans="1:17" ht="15.95" customHeight="1">
      <c r="A137" s="90"/>
      <c r="B137" s="168"/>
      <c r="C137" s="116"/>
      <c r="D137" s="271"/>
      <c r="E137" s="272"/>
      <c r="F137" s="141"/>
      <c r="G137" s="273"/>
      <c r="H137" s="274"/>
      <c r="I137" s="216" t="s">
        <v>239</v>
      </c>
      <c r="J137" s="257">
        <v>5000000</v>
      </c>
      <c r="K137" s="100" t="s">
        <v>468</v>
      </c>
      <c r="L137" s="122" t="s">
        <v>469</v>
      </c>
      <c r="M137" s="101">
        <v>2</v>
      </c>
      <c r="N137" s="101" t="s">
        <v>509</v>
      </c>
      <c r="O137" s="123" t="s">
        <v>460</v>
      </c>
      <c r="P137" s="257">
        <f>SUM(J137*M137)</f>
        <v>10000000</v>
      </c>
      <c r="Q137" s="125" t="s">
        <v>468</v>
      </c>
    </row>
    <row r="138" spans="1:17" ht="15.95" customHeight="1">
      <c r="A138" s="90"/>
      <c r="B138" s="168"/>
      <c r="C138" s="116"/>
      <c r="D138" s="271"/>
      <c r="E138" s="272"/>
      <c r="F138" s="141"/>
      <c r="G138" s="273"/>
      <c r="H138" s="274"/>
      <c r="I138" s="173" t="s">
        <v>455</v>
      </c>
      <c r="J138" s="257">
        <v>50000</v>
      </c>
      <c r="K138" s="100" t="s">
        <v>468</v>
      </c>
      <c r="L138" s="122" t="s">
        <v>469</v>
      </c>
      <c r="M138" s="101">
        <v>2</v>
      </c>
      <c r="N138" s="101" t="s">
        <v>467</v>
      </c>
      <c r="O138" s="123" t="s">
        <v>460</v>
      </c>
      <c r="P138" s="257">
        <f>SUM(J138*M138)</f>
        <v>100000</v>
      </c>
      <c r="Q138" s="125" t="s">
        <v>468</v>
      </c>
    </row>
    <row r="139" spans="1:17" ht="15.95" customHeight="1">
      <c r="A139" s="90"/>
      <c r="B139" s="168"/>
      <c r="C139" s="116"/>
      <c r="D139" s="271"/>
      <c r="E139" s="272"/>
      <c r="F139" s="141"/>
      <c r="G139" s="273"/>
      <c r="H139" s="274"/>
      <c r="I139" s="173" t="s">
        <v>195</v>
      </c>
      <c r="J139" s="257">
        <v>150000</v>
      </c>
      <c r="K139" s="100" t="s">
        <v>468</v>
      </c>
      <c r="L139" s="122" t="s">
        <v>469</v>
      </c>
      <c r="M139" s="101">
        <v>1</v>
      </c>
      <c r="N139" s="101" t="s">
        <v>467</v>
      </c>
      <c r="O139" s="123" t="s">
        <v>460</v>
      </c>
      <c r="P139" s="257">
        <f>SUM(J139*M139)</f>
        <v>150000</v>
      </c>
      <c r="Q139" s="125" t="s">
        <v>468</v>
      </c>
    </row>
    <row r="140" spans="1:17" ht="15.95" customHeight="1">
      <c r="A140" s="90"/>
      <c r="B140" s="168"/>
      <c r="C140" s="116"/>
      <c r="D140" s="271"/>
      <c r="E140" s="272"/>
      <c r="F140" s="141"/>
      <c r="G140" s="273"/>
      <c r="H140" s="274"/>
      <c r="I140" s="319" t="s">
        <v>237</v>
      </c>
      <c r="J140" s="257"/>
      <c r="K140" s="100"/>
      <c r="L140" s="122"/>
      <c r="M140" s="101"/>
      <c r="N140" s="101"/>
      <c r="O140" s="123"/>
      <c r="P140" s="257">
        <f>SUM(P141:P146)</f>
        <v>16900000</v>
      </c>
      <c r="Q140" s="212" t="s">
        <v>468</v>
      </c>
    </row>
    <row r="141" spans="1:17" ht="15.95" customHeight="1">
      <c r="A141" s="90"/>
      <c r="B141" s="168"/>
      <c r="C141" s="116"/>
      <c r="D141" s="271"/>
      <c r="E141" s="272"/>
      <c r="F141" s="141"/>
      <c r="G141" s="273"/>
      <c r="H141" s="274"/>
      <c r="I141" s="216" t="s">
        <v>216</v>
      </c>
      <c r="J141" s="257">
        <v>5500000</v>
      </c>
      <c r="K141" s="100" t="s">
        <v>468</v>
      </c>
      <c r="L141" s="122" t="s">
        <v>469</v>
      </c>
      <c r="M141" s="101">
        <v>1</v>
      </c>
      <c r="N141" s="101" t="s">
        <v>467</v>
      </c>
      <c r="O141" s="123" t="s">
        <v>460</v>
      </c>
      <c r="P141" s="257">
        <f t="shared" ref="P141:P146" si="6">SUM(J141*M141)</f>
        <v>5500000</v>
      </c>
      <c r="Q141" s="125" t="s">
        <v>468</v>
      </c>
    </row>
    <row r="142" spans="1:17" ht="15.95" customHeight="1">
      <c r="A142" s="90"/>
      <c r="B142" s="168"/>
      <c r="C142" s="116"/>
      <c r="D142" s="271"/>
      <c r="E142" s="272"/>
      <c r="F142" s="141"/>
      <c r="G142" s="273"/>
      <c r="H142" s="274"/>
      <c r="I142" s="173" t="s">
        <v>447</v>
      </c>
      <c r="J142" s="257">
        <v>300000</v>
      </c>
      <c r="K142" s="100" t="s">
        <v>468</v>
      </c>
      <c r="L142" s="122" t="s">
        <v>469</v>
      </c>
      <c r="M142" s="101">
        <v>10</v>
      </c>
      <c r="N142" s="101" t="s">
        <v>506</v>
      </c>
      <c r="O142" s="123" t="s">
        <v>460</v>
      </c>
      <c r="P142" s="257">
        <f t="shared" si="6"/>
        <v>3000000</v>
      </c>
      <c r="Q142" s="125" t="s">
        <v>468</v>
      </c>
    </row>
    <row r="143" spans="1:17" ht="15.95" customHeight="1">
      <c r="A143" s="90"/>
      <c r="B143" s="168"/>
      <c r="C143" s="116"/>
      <c r="D143" s="271"/>
      <c r="E143" s="272"/>
      <c r="F143" s="141"/>
      <c r="G143" s="273"/>
      <c r="H143" s="274"/>
      <c r="I143" s="173" t="s">
        <v>205</v>
      </c>
      <c r="J143" s="257">
        <v>3000</v>
      </c>
      <c r="K143" s="100" t="s">
        <v>468</v>
      </c>
      <c r="L143" s="122" t="s">
        <v>469</v>
      </c>
      <c r="M143" s="101">
        <v>700</v>
      </c>
      <c r="N143" s="101" t="s">
        <v>520</v>
      </c>
      <c r="O143" s="123" t="s">
        <v>460</v>
      </c>
      <c r="P143" s="257">
        <f t="shared" si="6"/>
        <v>2100000</v>
      </c>
      <c r="Q143" s="125" t="s">
        <v>468</v>
      </c>
    </row>
    <row r="144" spans="1:17" ht="15.95" customHeight="1">
      <c r="A144" s="90"/>
      <c r="B144" s="320"/>
      <c r="C144" s="116"/>
      <c r="D144" s="271"/>
      <c r="E144" s="272"/>
      <c r="F144" s="141"/>
      <c r="G144" s="273"/>
      <c r="H144" s="274"/>
      <c r="I144" s="173" t="s">
        <v>240</v>
      </c>
      <c r="J144" s="257">
        <v>60000</v>
      </c>
      <c r="K144" s="100" t="s">
        <v>468</v>
      </c>
      <c r="L144" s="122" t="s">
        <v>469</v>
      </c>
      <c r="M144" s="101">
        <v>5</v>
      </c>
      <c r="N144" s="101" t="s">
        <v>467</v>
      </c>
      <c r="O144" s="123" t="s">
        <v>460</v>
      </c>
      <c r="P144" s="257">
        <f t="shared" si="6"/>
        <v>300000</v>
      </c>
      <c r="Q144" s="125" t="s">
        <v>468</v>
      </c>
    </row>
    <row r="145" spans="1:17" ht="15.95" customHeight="1">
      <c r="A145" s="90"/>
      <c r="B145" s="320"/>
      <c r="C145" s="116"/>
      <c r="D145" s="271"/>
      <c r="E145" s="272"/>
      <c r="F145" s="141"/>
      <c r="G145" s="273"/>
      <c r="H145" s="274"/>
      <c r="I145" s="216" t="s">
        <v>435</v>
      </c>
      <c r="J145" s="257">
        <v>1100000</v>
      </c>
      <c r="K145" s="100" t="s">
        <v>468</v>
      </c>
      <c r="L145" s="122" t="s">
        <v>469</v>
      </c>
      <c r="M145" s="101">
        <v>5</v>
      </c>
      <c r="N145" s="101" t="s">
        <v>522</v>
      </c>
      <c r="O145" s="123" t="s">
        <v>460</v>
      </c>
      <c r="P145" s="257">
        <f t="shared" si="6"/>
        <v>5500000</v>
      </c>
      <c r="Q145" s="125" t="s">
        <v>468</v>
      </c>
    </row>
    <row r="146" spans="1:17" ht="15.95" customHeight="1">
      <c r="A146" s="90"/>
      <c r="B146" s="104"/>
      <c r="C146" s="116"/>
      <c r="D146" s="271"/>
      <c r="E146" s="272"/>
      <c r="F146" s="141"/>
      <c r="G146" s="273"/>
      <c r="H146" s="274"/>
      <c r="I146" s="173" t="s">
        <v>445</v>
      </c>
      <c r="J146" s="257">
        <v>500000</v>
      </c>
      <c r="K146" s="100" t="s">
        <v>468</v>
      </c>
      <c r="L146" s="122" t="s">
        <v>469</v>
      </c>
      <c r="M146" s="101">
        <v>1</v>
      </c>
      <c r="N146" s="101" t="s">
        <v>467</v>
      </c>
      <c r="O146" s="123" t="s">
        <v>460</v>
      </c>
      <c r="P146" s="257">
        <f t="shared" si="6"/>
        <v>500000</v>
      </c>
      <c r="Q146" s="125" t="s">
        <v>468</v>
      </c>
    </row>
    <row r="147" spans="1:17" ht="15.95" customHeight="1">
      <c r="A147" s="90"/>
      <c r="B147" s="320"/>
      <c r="C147" s="116"/>
      <c r="D147" s="271"/>
      <c r="E147" s="272"/>
      <c r="F147" s="141"/>
      <c r="G147" s="273"/>
      <c r="H147" s="274"/>
      <c r="I147" s="319" t="s">
        <v>453</v>
      </c>
      <c r="J147" s="257"/>
      <c r="K147" s="100"/>
      <c r="L147" s="122"/>
      <c r="M147" s="101"/>
      <c r="N147" s="101"/>
      <c r="O147" s="123"/>
      <c r="P147" s="257">
        <f>SUM(P148)</f>
        <v>100000</v>
      </c>
      <c r="Q147" s="212" t="s">
        <v>468</v>
      </c>
    </row>
    <row r="148" spans="1:17" ht="15.95" customHeight="1">
      <c r="A148" s="90"/>
      <c r="B148" s="320"/>
      <c r="C148" s="116"/>
      <c r="D148" s="271"/>
      <c r="E148" s="272"/>
      <c r="F148" s="141"/>
      <c r="G148" s="273"/>
      <c r="H148" s="274"/>
      <c r="I148" s="173" t="s">
        <v>448</v>
      </c>
      <c r="J148" s="257">
        <v>50000</v>
      </c>
      <c r="K148" s="100" t="s">
        <v>468</v>
      </c>
      <c r="L148" s="122" t="s">
        <v>469</v>
      </c>
      <c r="M148" s="101">
        <v>2</v>
      </c>
      <c r="N148" s="101" t="s">
        <v>467</v>
      </c>
      <c r="O148" s="123" t="s">
        <v>460</v>
      </c>
      <c r="P148" s="257">
        <f>SUM(J148*M148)</f>
        <v>100000</v>
      </c>
      <c r="Q148" s="125" t="s">
        <v>468</v>
      </c>
    </row>
    <row r="149" spans="1:17" ht="15.95" customHeight="1">
      <c r="A149" s="90"/>
      <c r="B149" s="104"/>
      <c r="C149" s="105" t="s">
        <v>137</v>
      </c>
      <c r="D149" s="266">
        <v>100</v>
      </c>
      <c r="E149" s="267">
        <f>+P149/1000+1</f>
        <v>21567.455000000002</v>
      </c>
      <c r="F149" s="136">
        <v>0</v>
      </c>
      <c r="G149" s="268">
        <f>+E149-D149</f>
        <v>21467.455000000002</v>
      </c>
      <c r="H149" s="305">
        <f>+G149/D149*100</f>
        <v>21467.455000000002</v>
      </c>
      <c r="I149" s="171"/>
      <c r="J149" s="251"/>
      <c r="K149" s="112"/>
      <c r="L149" s="214"/>
      <c r="M149" s="138" t="s">
        <v>473</v>
      </c>
      <c r="N149" s="138"/>
      <c r="O149" s="138"/>
      <c r="P149" s="251">
        <f>SUM(P150:P151)</f>
        <v>21566455</v>
      </c>
      <c r="Q149" s="114" t="s">
        <v>468</v>
      </c>
    </row>
    <row r="150" spans="1:17" ht="15.95" customHeight="1">
      <c r="A150" s="90"/>
      <c r="B150" s="104"/>
      <c r="C150" s="116"/>
      <c r="D150" s="271"/>
      <c r="E150" s="272"/>
      <c r="F150" s="141"/>
      <c r="G150" s="273"/>
      <c r="H150" s="306"/>
      <c r="I150" s="173" t="s">
        <v>314</v>
      </c>
      <c r="J150" s="257">
        <v>100000</v>
      </c>
      <c r="K150" s="100" t="s">
        <v>468</v>
      </c>
      <c r="L150" s="122" t="s">
        <v>469</v>
      </c>
      <c r="M150" s="101">
        <v>1</v>
      </c>
      <c r="N150" s="101" t="s">
        <v>467</v>
      </c>
      <c r="O150" s="123" t="s">
        <v>460</v>
      </c>
      <c r="P150" s="257">
        <f>SUM(J150*M150)</f>
        <v>100000</v>
      </c>
      <c r="Q150" s="125" t="s">
        <v>468</v>
      </c>
    </row>
    <row r="151" spans="1:17" ht="15.95" customHeight="1">
      <c r="A151" s="90"/>
      <c r="B151" s="104"/>
      <c r="C151" s="128"/>
      <c r="D151" s="276"/>
      <c r="E151" s="277"/>
      <c r="F151" s="119"/>
      <c r="G151" s="278"/>
      <c r="H151" s="308"/>
      <c r="I151" s="173" t="s">
        <v>251</v>
      </c>
      <c r="J151" s="257">
        <v>21466455</v>
      </c>
      <c r="K151" s="100" t="s">
        <v>468</v>
      </c>
      <c r="L151" s="122" t="s">
        <v>469</v>
      </c>
      <c r="M151" s="101">
        <v>1</v>
      </c>
      <c r="N151" s="101" t="s">
        <v>467</v>
      </c>
      <c r="O151" s="123" t="s">
        <v>460</v>
      </c>
      <c r="P151" s="257">
        <f>SUM(J151*M151)</f>
        <v>21466455</v>
      </c>
      <c r="Q151" s="125" t="s">
        <v>468</v>
      </c>
    </row>
    <row r="152" spans="1:17" ht="15.95" customHeight="1">
      <c r="A152" s="90"/>
      <c r="B152" s="104"/>
      <c r="C152" s="218" t="s">
        <v>423</v>
      </c>
      <c r="D152" s="266">
        <v>1200</v>
      </c>
      <c r="E152" s="267">
        <f>+P152/1000</f>
        <v>1200</v>
      </c>
      <c r="F152" s="136">
        <v>0</v>
      </c>
      <c r="G152" s="268">
        <f>+E152-D152</f>
        <v>0</v>
      </c>
      <c r="H152" s="269">
        <f>+G152/D152*100</f>
        <v>0</v>
      </c>
      <c r="I152" s="171"/>
      <c r="J152" s="251"/>
      <c r="K152" s="112"/>
      <c r="L152" s="214"/>
      <c r="M152" s="138" t="s">
        <v>473</v>
      </c>
      <c r="N152" s="138"/>
      <c r="O152" s="138"/>
      <c r="P152" s="251">
        <f>SUM(P153:P153)</f>
        <v>1200000</v>
      </c>
      <c r="Q152" s="114" t="s">
        <v>468</v>
      </c>
    </row>
    <row r="153" spans="1:17" ht="15.95" customHeight="1">
      <c r="A153" s="90"/>
      <c r="B153" s="104"/>
      <c r="C153" s="116"/>
      <c r="D153" s="271"/>
      <c r="E153" s="272"/>
      <c r="F153" s="141"/>
      <c r="G153" s="273"/>
      <c r="H153" s="274"/>
      <c r="I153" s="173" t="s">
        <v>420</v>
      </c>
      <c r="J153" s="257">
        <v>1200000</v>
      </c>
      <c r="K153" s="100" t="s">
        <v>468</v>
      </c>
      <c r="L153" s="122" t="s">
        <v>469</v>
      </c>
      <c r="M153" s="101">
        <v>1</v>
      </c>
      <c r="N153" s="101" t="s">
        <v>467</v>
      </c>
      <c r="O153" s="123" t="s">
        <v>460</v>
      </c>
      <c r="P153" s="257">
        <f>SUM(J153*M153)</f>
        <v>1200000</v>
      </c>
      <c r="Q153" s="125" t="s">
        <v>468</v>
      </c>
    </row>
    <row r="154" spans="1:17" ht="15.95" customHeight="1">
      <c r="A154" s="90"/>
      <c r="B154" s="104"/>
      <c r="C154" s="321" t="s">
        <v>39</v>
      </c>
      <c r="D154" s="266">
        <v>306419</v>
      </c>
      <c r="E154" s="267">
        <f>(P154/1000)</f>
        <v>306419</v>
      </c>
      <c r="F154" s="136">
        <v>83961</v>
      </c>
      <c r="G154" s="268">
        <f>E154-D154</f>
        <v>0</v>
      </c>
      <c r="H154" s="269">
        <f>G154/D154*100</f>
        <v>0</v>
      </c>
      <c r="I154" s="219"/>
      <c r="J154" s="251"/>
      <c r="K154" s="112"/>
      <c r="L154" s="214"/>
      <c r="M154" s="138" t="s">
        <v>473</v>
      </c>
      <c r="N154" s="138"/>
      <c r="O154" s="138"/>
      <c r="P154" s="251">
        <f>SUM(P155:P158)</f>
        <v>306419000</v>
      </c>
      <c r="Q154" s="114" t="s">
        <v>468</v>
      </c>
    </row>
    <row r="155" spans="1:17" ht="15.95" customHeight="1">
      <c r="A155" s="90"/>
      <c r="B155" s="104"/>
      <c r="C155" s="322"/>
      <c r="D155" s="271"/>
      <c r="E155" s="272"/>
      <c r="F155" s="141"/>
      <c r="G155" s="273"/>
      <c r="H155" s="274"/>
      <c r="I155" s="191" t="s">
        <v>386</v>
      </c>
      <c r="J155" s="257">
        <v>75000000</v>
      </c>
      <c r="K155" s="100" t="s">
        <v>468</v>
      </c>
      <c r="L155" s="122" t="s">
        <v>469</v>
      </c>
      <c r="M155" s="101">
        <v>1</v>
      </c>
      <c r="N155" s="101" t="s">
        <v>467</v>
      </c>
      <c r="O155" s="123" t="s">
        <v>460</v>
      </c>
      <c r="P155" s="257">
        <f>SUM(J155*M155)</f>
        <v>75000000</v>
      </c>
      <c r="Q155" s="125" t="s">
        <v>468</v>
      </c>
    </row>
    <row r="156" spans="1:17" ht="15.95" customHeight="1">
      <c r="A156" s="90"/>
      <c r="B156" s="104"/>
      <c r="C156" s="322"/>
      <c r="D156" s="271"/>
      <c r="E156" s="272"/>
      <c r="F156" s="127"/>
      <c r="G156" s="273"/>
      <c r="H156" s="274"/>
      <c r="I156" s="323" t="s">
        <v>298</v>
      </c>
      <c r="J156" s="257">
        <v>22500000</v>
      </c>
      <c r="K156" s="100" t="s">
        <v>468</v>
      </c>
      <c r="L156" s="122" t="s">
        <v>469</v>
      </c>
      <c r="M156" s="101">
        <v>2</v>
      </c>
      <c r="N156" s="101" t="s">
        <v>467</v>
      </c>
      <c r="O156" s="123" t="s">
        <v>516</v>
      </c>
      <c r="P156" s="257">
        <f>J156*M156</f>
        <v>45000000</v>
      </c>
      <c r="Q156" s="125" t="s">
        <v>468</v>
      </c>
    </row>
    <row r="157" spans="1:17" ht="15.95" customHeight="1">
      <c r="A157" s="90"/>
      <c r="B157" s="104"/>
      <c r="C157" s="322"/>
      <c r="D157" s="271"/>
      <c r="E157" s="272"/>
      <c r="F157" s="127"/>
      <c r="G157" s="273"/>
      <c r="H157" s="274"/>
      <c r="I157" s="323" t="s">
        <v>306</v>
      </c>
      <c r="J157" s="257">
        <v>150000000</v>
      </c>
      <c r="K157" s="100" t="s">
        <v>468</v>
      </c>
      <c r="L157" s="122" t="s">
        <v>469</v>
      </c>
      <c r="M157" s="101">
        <v>1</v>
      </c>
      <c r="N157" s="101" t="s">
        <v>467</v>
      </c>
      <c r="O157" s="123" t="s">
        <v>516</v>
      </c>
      <c r="P157" s="257">
        <f>J157*M157</f>
        <v>150000000</v>
      </c>
      <c r="Q157" s="125" t="s">
        <v>468</v>
      </c>
    </row>
    <row r="158" spans="1:17" ht="15.95" customHeight="1">
      <c r="A158" s="90"/>
      <c r="B158" s="104"/>
      <c r="C158" s="324"/>
      <c r="D158" s="276"/>
      <c r="E158" s="277"/>
      <c r="F158" s="127"/>
      <c r="G158" s="278"/>
      <c r="H158" s="279"/>
      <c r="I158" s="325" t="s">
        <v>170</v>
      </c>
      <c r="J158" s="264">
        <v>36419000</v>
      </c>
      <c r="K158" s="160" t="s">
        <v>468</v>
      </c>
      <c r="L158" s="161" t="s">
        <v>469</v>
      </c>
      <c r="M158" s="163">
        <v>1</v>
      </c>
      <c r="N158" s="163" t="s">
        <v>467</v>
      </c>
      <c r="O158" s="167" t="s">
        <v>516</v>
      </c>
      <c r="P158" s="264">
        <f>J158*M158</f>
        <v>36419000</v>
      </c>
      <c r="Q158" s="164" t="s">
        <v>468</v>
      </c>
    </row>
    <row r="159" spans="1:17" ht="18.75" customHeight="1">
      <c r="A159" s="326"/>
      <c r="B159" s="327" t="s">
        <v>198</v>
      </c>
      <c r="C159" s="235" t="s">
        <v>459</v>
      </c>
      <c r="D159" s="236">
        <f>SUM(D160:D179)</f>
        <v>251560</v>
      </c>
      <c r="E159" s="236">
        <f>SUM(E160:E179)</f>
        <v>204440</v>
      </c>
      <c r="F159" s="12">
        <f>SUM(F160:F167)</f>
        <v>4163</v>
      </c>
      <c r="G159" s="238">
        <f>+E159-D159</f>
        <v>-47120</v>
      </c>
      <c r="H159" s="239">
        <f>+G159/D159*100</f>
        <v>-18.731117824773413</v>
      </c>
      <c r="I159" s="301"/>
      <c r="J159" s="241"/>
      <c r="K159" s="242"/>
      <c r="L159" s="328"/>
      <c r="M159" s="243"/>
      <c r="N159" s="243"/>
      <c r="O159" s="329"/>
      <c r="P159" s="241">
        <f>SUM(P160,P170,P173,P178)</f>
        <v>204440000</v>
      </c>
      <c r="Q159" s="102" t="s">
        <v>468</v>
      </c>
    </row>
    <row r="160" spans="1:17" ht="15.95" customHeight="1">
      <c r="A160" s="90"/>
      <c r="B160" s="330" t="s">
        <v>72</v>
      </c>
      <c r="C160" s="218" t="s">
        <v>317</v>
      </c>
      <c r="D160" s="266">
        <v>21450</v>
      </c>
      <c r="E160" s="267">
        <f>+P160/1000</f>
        <v>21450</v>
      </c>
      <c r="F160" s="136">
        <v>4163</v>
      </c>
      <c r="G160" s="268">
        <f>+E160-D160</f>
        <v>0</v>
      </c>
      <c r="H160" s="305">
        <f>+G160/D160*100</f>
        <v>0</v>
      </c>
      <c r="I160" s="110"/>
      <c r="J160" s="251"/>
      <c r="K160" s="112"/>
      <c r="L160" s="214"/>
      <c r="M160" s="138" t="s">
        <v>473</v>
      </c>
      <c r="N160" s="138"/>
      <c r="O160" s="138"/>
      <c r="P160" s="251">
        <f>SUM(P161,P168,P169)</f>
        <v>21450000</v>
      </c>
      <c r="Q160" s="114" t="s">
        <v>468</v>
      </c>
    </row>
    <row r="161" spans="1:17" ht="15.95" customHeight="1">
      <c r="A161" s="90"/>
      <c r="B161" s="91"/>
      <c r="C161" s="221"/>
      <c r="D161" s="271"/>
      <c r="E161" s="272"/>
      <c r="F161" s="141"/>
      <c r="G161" s="273"/>
      <c r="H161" s="306"/>
      <c r="I161" s="331" t="s">
        <v>97</v>
      </c>
      <c r="J161" s="332"/>
      <c r="K161" s="333"/>
      <c r="L161" s="334"/>
      <c r="M161" s="335"/>
      <c r="N161" s="335"/>
      <c r="O161" s="336"/>
      <c r="P161" s="257">
        <f>SUM(P162:P167)</f>
        <v>17450000</v>
      </c>
      <c r="Q161" s="125" t="s">
        <v>468</v>
      </c>
    </row>
    <row r="162" spans="1:17" ht="15.95" customHeight="1">
      <c r="A162" s="90"/>
      <c r="B162" s="104"/>
      <c r="C162" s="221"/>
      <c r="D162" s="271"/>
      <c r="E162" s="272"/>
      <c r="F162" s="141"/>
      <c r="G162" s="273"/>
      <c r="H162" s="306"/>
      <c r="I162" s="121" t="s">
        <v>418</v>
      </c>
      <c r="J162" s="257">
        <v>100000</v>
      </c>
      <c r="K162" s="100" t="s">
        <v>468</v>
      </c>
      <c r="L162" s="122" t="s">
        <v>469</v>
      </c>
      <c r="M162" s="101">
        <v>1</v>
      </c>
      <c r="N162" s="101" t="s">
        <v>467</v>
      </c>
      <c r="O162" s="123" t="s">
        <v>460</v>
      </c>
      <c r="P162" s="257">
        <f t="shared" ref="P162:P168" si="7">SUM(J162*M162)</f>
        <v>100000</v>
      </c>
      <c r="Q162" s="125" t="s">
        <v>468</v>
      </c>
    </row>
    <row r="163" spans="1:17" ht="15.95" customHeight="1">
      <c r="A163" s="90"/>
      <c r="B163" s="104"/>
      <c r="C163" s="221"/>
      <c r="D163" s="271"/>
      <c r="E163" s="272"/>
      <c r="F163" s="141"/>
      <c r="G163" s="273"/>
      <c r="H163" s="306"/>
      <c r="I163" s="121" t="s">
        <v>397</v>
      </c>
      <c r="J163" s="257">
        <v>10000</v>
      </c>
      <c r="K163" s="100" t="s">
        <v>468</v>
      </c>
      <c r="L163" s="122" t="s">
        <v>469</v>
      </c>
      <c r="M163" s="101">
        <v>80</v>
      </c>
      <c r="N163" s="101" t="s">
        <v>518</v>
      </c>
      <c r="O163" s="123" t="s">
        <v>460</v>
      </c>
      <c r="P163" s="257">
        <f t="shared" si="7"/>
        <v>800000</v>
      </c>
      <c r="Q163" s="125" t="s">
        <v>468</v>
      </c>
    </row>
    <row r="164" spans="1:17" ht="15.95" customHeight="1">
      <c r="A164" s="90"/>
      <c r="B164" s="104"/>
      <c r="C164" s="221"/>
      <c r="D164" s="271"/>
      <c r="E164" s="272"/>
      <c r="F164" s="141"/>
      <c r="G164" s="273"/>
      <c r="H164" s="306"/>
      <c r="I164" s="121" t="s">
        <v>375</v>
      </c>
      <c r="J164" s="257">
        <v>12850000</v>
      </c>
      <c r="K164" s="100" t="s">
        <v>468</v>
      </c>
      <c r="L164" s="122" t="s">
        <v>469</v>
      </c>
      <c r="M164" s="101">
        <v>1</v>
      </c>
      <c r="N164" s="101" t="s">
        <v>467</v>
      </c>
      <c r="O164" s="123" t="s">
        <v>460</v>
      </c>
      <c r="P164" s="257">
        <f t="shared" si="7"/>
        <v>12850000</v>
      </c>
      <c r="Q164" s="125" t="s">
        <v>468</v>
      </c>
    </row>
    <row r="165" spans="1:17" ht="15.95" customHeight="1">
      <c r="A165" s="281" t="s">
        <v>490</v>
      </c>
      <c r="B165" s="327" t="s">
        <v>198</v>
      </c>
      <c r="C165" s="337"/>
      <c r="D165" s="338"/>
      <c r="E165" s="339"/>
      <c r="F165" s="141"/>
      <c r="G165" s="340"/>
      <c r="H165" s="341"/>
      <c r="I165" s="143" t="s">
        <v>393</v>
      </c>
      <c r="J165" s="257">
        <v>150000</v>
      </c>
      <c r="K165" s="100" t="s">
        <v>468</v>
      </c>
      <c r="L165" s="122" t="s">
        <v>469</v>
      </c>
      <c r="M165" s="101">
        <v>2</v>
      </c>
      <c r="N165" s="101" t="s">
        <v>467</v>
      </c>
      <c r="O165" s="123"/>
      <c r="P165" s="257">
        <f t="shared" si="7"/>
        <v>300000</v>
      </c>
      <c r="Q165" s="125" t="s">
        <v>468</v>
      </c>
    </row>
    <row r="166" spans="1:17" ht="15.95" customHeight="1">
      <c r="A166" s="90"/>
      <c r="B166" s="330" t="s">
        <v>72</v>
      </c>
      <c r="C166" s="337"/>
      <c r="D166" s="338"/>
      <c r="E166" s="339"/>
      <c r="F166" s="141"/>
      <c r="G166" s="340"/>
      <c r="H166" s="341"/>
      <c r="I166" s="143" t="s">
        <v>160</v>
      </c>
      <c r="J166" s="257">
        <v>10000</v>
      </c>
      <c r="K166" s="100" t="s">
        <v>468</v>
      </c>
      <c r="L166" s="122" t="s">
        <v>469</v>
      </c>
      <c r="M166" s="101">
        <v>40</v>
      </c>
      <c r="N166" s="101" t="s">
        <v>506</v>
      </c>
      <c r="O166" s="101"/>
      <c r="P166" s="257">
        <f t="shared" si="7"/>
        <v>400000</v>
      </c>
      <c r="Q166" s="125" t="s">
        <v>468</v>
      </c>
    </row>
    <row r="167" spans="1:17" ht="15.95" customHeight="1">
      <c r="A167" s="90"/>
      <c r="B167" s="104"/>
      <c r="C167" s="337"/>
      <c r="D167" s="338"/>
      <c r="E167" s="339"/>
      <c r="F167" s="141"/>
      <c r="G167" s="340"/>
      <c r="H167" s="341"/>
      <c r="I167" s="143" t="s">
        <v>384</v>
      </c>
      <c r="J167" s="257">
        <v>150000</v>
      </c>
      <c r="K167" s="100" t="s">
        <v>468</v>
      </c>
      <c r="L167" s="122" t="s">
        <v>469</v>
      </c>
      <c r="M167" s="101">
        <v>20</v>
      </c>
      <c r="N167" s="101" t="s">
        <v>467</v>
      </c>
      <c r="O167" s="101"/>
      <c r="P167" s="257">
        <f t="shared" si="7"/>
        <v>3000000</v>
      </c>
      <c r="Q167" s="125" t="s">
        <v>468</v>
      </c>
    </row>
    <row r="168" spans="1:17" ht="15.75" customHeight="1">
      <c r="A168" s="90"/>
      <c r="B168" s="104"/>
      <c r="C168" s="337"/>
      <c r="D168" s="338"/>
      <c r="E168" s="339"/>
      <c r="F168" s="119"/>
      <c r="G168" s="340"/>
      <c r="H168" s="341"/>
      <c r="I168" s="342" t="s">
        <v>131</v>
      </c>
      <c r="J168" s="257">
        <v>1000000</v>
      </c>
      <c r="K168" s="100" t="s">
        <v>468</v>
      </c>
      <c r="L168" s="122" t="s">
        <v>469</v>
      </c>
      <c r="M168" s="101">
        <v>1</v>
      </c>
      <c r="N168" s="101" t="s">
        <v>467</v>
      </c>
      <c r="O168" s="101"/>
      <c r="P168" s="257">
        <f t="shared" si="7"/>
        <v>1000000</v>
      </c>
      <c r="Q168" s="125" t="s">
        <v>468</v>
      </c>
    </row>
    <row r="169" spans="1:17" ht="15.75" customHeight="1">
      <c r="A169" s="343"/>
      <c r="B169" s="104"/>
      <c r="C169" s="315"/>
      <c r="D169" s="316"/>
      <c r="E169" s="344"/>
      <c r="F169" s="119"/>
      <c r="G169" s="317"/>
      <c r="H169" s="341"/>
      <c r="I169" s="342" t="s">
        <v>280</v>
      </c>
      <c r="J169" s="264">
        <v>200000</v>
      </c>
      <c r="K169" s="160" t="s">
        <v>468</v>
      </c>
      <c r="L169" s="161" t="s">
        <v>469</v>
      </c>
      <c r="M169" s="163">
        <v>15</v>
      </c>
      <c r="N169" s="163" t="s">
        <v>467</v>
      </c>
      <c r="O169" s="163"/>
      <c r="P169" s="264">
        <f>SUM(J169*M169)</f>
        <v>3000000</v>
      </c>
      <c r="Q169" s="125" t="s">
        <v>468</v>
      </c>
    </row>
    <row r="170" spans="1:17" ht="15.75" customHeight="1">
      <c r="A170" s="343"/>
      <c r="B170" s="104"/>
      <c r="C170" s="105" t="s">
        <v>222</v>
      </c>
      <c r="D170" s="266">
        <v>1000</v>
      </c>
      <c r="E170" s="267">
        <f>P170/1000</f>
        <v>1000</v>
      </c>
      <c r="F170" s="119"/>
      <c r="G170" s="268">
        <f>E170-D170</f>
        <v>0</v>
      </c>
      <c r="H170" s="269">
        <f>G170/D170*100</f>
        <v>0</v>
      </c>
      <c r="I170" s="192"/>
      <c r="J170" s="251"/>
      <c r="K170" s="112"/>
      <c r="L170" s="214"/>
      <c r="M170" s="113"/>
      <c r="N170" s="113"/>
      <c r="O170" s="113"/>
      <c r="P170" s="251">
        <f>SUM(P171:P172)</f>
        <v>1000000</v>
      </c>
      <c r="Q170" s="114" t="s">
        <v>468</v>
      </c>
    </row>
    <row r="171" spans="1:17" ht="15.75" customHeight="1">
      <c r="A171" s="343"/>
      <c r="B171" s="104"/>
      <c r="C171" s="116"/>
      <c r="D171" s="271"/>
      <c r="E171" s="272"/>
      <c r="F171" s="119"/>
      <c r="G171" s="273"/>
      <c r="H171" s="274"/>
      <c r="I171" s="143" t="s">
        <v>419</v>
      </c>
      <c r="J171" s="257">
        <v>1000000</v>
      </c>
      <c r="K171" s="100" t="s">
        <v>468</v>
      </c>
      <c r="L171" s="122" t="s">
        <v>497</v>
      </c>
      <c r="M171" s="101">
        <v>1</v>
      </c>
      <c r="N171" s="101" t="s">
        <v>467</v>
      </c>
      <c r="O171" s="123" t="s">
        <v>460</v>
      </c>
      <c r="P171" s="257">
        <f>SUM(J171*M171)</f>
        <v>1000000</v>
      </c>
      <c r="Q171" s="125" t="s">
        <v>468</v>
      </c>
    </row>
    <row r="172" spans="1:17" ht="15.75" customHeight="1">
      <c r="A172" s="343"/>
      <c r="B172" s="104"/>
      <c r="C172" s="128"/>
      <c r="D172" s="276"/>
      <c r="E172" s="277"/>
      <c r="F172" s="119"/>
      <c r="G172" s="278"/>
      <c r="H172" s="279"/>
      <c r="I172" s="345" t="s">
        <v>276</v>
      </c>
      <c r="J172" s="257">
        <v>0</v>
      </c>
      <c r="K172" s="100" t="s">
        <v>468</v>
      </c>
      <c r="L172" s="122" t="s">
        <v>469</v>
      </c>
      <c r="M172" s="101">
        <v>0</v>
      </c>
      <c r="N172" s="101" t="s">
        <v>509</v>
      </c>
      <c r="O172" s="123" t="s">
        <v>460</v>
      </c>
      <c r="P172" s="257">
        <f>SUM(J172*M172)</f>
        <v>0</v>
      </c>
      <c r="Q172" s="125" t="s">
        <v>468</v>
      </c>
    </row>
    <row r="173" spans="1:17" ht="15.95" customHeight="1">
      <c r="A173" s="90"/>
      <c r="B173" s="91"/>
      <c r="C173" s="26" t="s">
        <v>210</v>
      </c>
      <c r="D173" s="25">
        <v>133110</v>
      </c>
      <c r="E173" s="27">
        <f>P173/1000</f>
        <v>31990</v>
      </c>
      <c r="F173" s="153">
        <v>80151</v>
      </c>
      <c r="G173" s="24">
        <f>+E173-D173</f>
        <v>-101120</v>
      </c>
      <c r="H173" s="28">
        <f>+G173/D173*100</f>
        <v>-75.967245135602141</v>
      </c>
      <c r="I173" s="110"/>
      <c r="J173" s="251"/>
      <c r="K173" s="112"/>
      <c r="L173" s="214"/>
      <c r="M173" s="138" t="s">
        <v>473</v>
      </c>
      <c r="N173" s="138"/>
      <c r="O173" s="138"/>
      <c r="P173" s="251">
        <f>SUM(P174:P177)</f>
        <v>31990000</v>
      </c>
      <c r="Q173" s="114" t="s">
        <v>468</v>
      </c>
    </row>
    <row r="174" spans="1:17" ht="15.95" customHeight="1">
      <c r="A174" s="90"/>
      <c r="B174" s="104"/>
      <c r="C174" s="26"/>
      <c r="D174" s="25"/>
      <c r="E174" s="27"/>
      <c r="F174" s="153"/>
      <c r="G174" s="24"/>
      <c r="H174" s="28"/>
      <c r="I174" s="346" t="s">
        <v>370</v>
      </c>
      <c r="J174" s="257">
        <v>500000</v>
      </c>
      <c r="K174" s="100" t="s">
        <v>468</v>
      </c>
      <c r="L174" s="122" t="s">
        <v>469</v>
      </c>
      <c r="M174" s="101">
        <v>1</v>
      </c>
      <c r="N174" s="101" t="s">
        <v>467</v>
      </c>
      <c r="O174" s="123" t="s">
        <v>460</v>
      </c>
      <c r="P174" s="257">
        <f>SUM(J174*M174)</f>
        <v>500000</v>
      </c>
      <c r="Q174" s="125" t="s">
        <v>468</v>
      </c>
    </row>
    <row r="175" spans="1:17" ht="15.95" customHeight="1">
      <c r="A175" s="90"/>
      <c r="B175" s="104"/>
      <c r="C175" s="26"/>
      <c r="D175" s="25"/>
      <c r="E175" s="27"/>
      <c r="F175" s="153"/>
      <c r="G175" s="24"/>
      <c r="H175" s="28"/>
      <c r="I175" s="191" t="s">
        <v>338</v>
      </c>
      <c r="J175" s="257">
        <v>880000</v>
      </c>
      <c r="K175" s="100" t="s">
        <v>468</v>
      </c>
      <c r="L175" s="122" t="s">
        <v>469</v>
      </c>
      <c r="M175" s="101">
        <v>1</v>
      </c>
      <c r="N175" s="101" t="s">
        <v>467</v>
      </c>
      <c r="O175" s="123" t="s">
        <v>460</v>
      </c>
      <c r="P175" s="257">
        <f>SUM(J175*M175)</f>
        <v>880000</v>
      </c>
      <c r="Q175" s="125" t="s">
        <v>468</v>
      </c>
    </row>
    <row r="176" spans="1:17" ht="15.95" customHeight="1">
      <c r="A176" s="90"/>
      <c r="B176" s="104"/>
      <c r="C176" s="26"/>
      <c r="D176" s="25"/>
      <c r="E176" s="27"/>
      <c r="F176" s="153"/>
      <c r="G176" s="24"/>
      <c r="H176" s="28"/>
      <c r="I176" s="191" t="s">
        <v>333</v>
      </c>
      <c r="J176" s="257">
        <v>8000000</v>
      </c>
      <c r="K176" s="100" t="s">
        <v>468</v>
      </c>
      <c r="L176" s="122" t="s">
        <v>469</v>
      </c>
      <c r="M176" s="101">
        <v>1</v>
      </c>
      <c r="N176" s="101" t="s">
        <v>467</v>
      </c>
      <c r="O176" s="123" t="s">
        <v>460</v>
      </c>
      <c r="P176" s="257">
        <f>SUM(J176*M176)</f>
        <v>8000000</v>
      </c>
      <c r="Q176" s="125" t="s">
        <v>468</v>
      </c>
    </row>
    <row r="177" spans="1:17" ht="15.95" customHeight="1">
      <c r="A177" s="90"/>
      <c r="B177" s="104"/>
      <c r="C177" s="26"/>
      <c r="D177" s="25"/>
      <c r="E177" s="27"/>
      <c r="F177" s="153"/>
      <c r="G177" s="24"/>
      <c r="H177" s="28"/>
      <c r="I177" s="345" t="s">
        <v>206</v>
      </c>
      <c r="J177" s="264">
        <v>22610000</v>
      </c>
      <c r="K177" s="160" t="s">
        <v>468</v>
      </c>
      <c r="L177" s="161" t="s">
        <v>469</v>
      </c>
      <c r="M177" s="163">
        <v>1</v>
      </c>
      <c r="N177" s="163" t="s">
        <v>467</v>
      </c>
      <c r="O177" s="167" t="s">
        <v>460</v>
      </c>
      <c r="P177" s="264">
        <f>SUM(J177*M177)</f>
        <v>22610000</v>
      </c>
      <c r="Q177" s="164" t="s">
        <v>468</v>
      </c>
    </row>
    <row r="178" spans="1:17" ht="15.95" customHeight="1">
      <c r="A178" s="281"/>
      <c r="B178" s="91"/>
      <c r="C178" s="26" t="s">
        <v>337</v>
      </c>
      <c r="D178" s="25">
        <v>96000</v>
      </c>
      <c r="E178" s="27">
        <f>+P178/1000</f>
        <v>150000</v>
      </c>
      <c r="F178" s="12"/>
      <c r="G178" s="24">
        <f>+E178-D178</f>
        <v>54000</v>
      </c>
      <c r="H178" s="28">
        <f>+G178/D178*100</f>
        <v>56.25</v>
      </c>
      <c r="I178" s="144"/>
      <c r="J178" s="251"/>
      <c r="K178" s="112"/>
      <c r="L178" s="214"/>
      <c r="M178" s="138" t="s">
        <v>473</v>
      </c>
      <c r="N178" s="138"/>
      <c r="O178" s="138"/>
      <c r="P178" s="251">
        <f>SUM(P179:P179)</f>
        <v>150000000</v>
      </c>
      <c r="Q178" s="114" t="s">
        <v>468</v>
      </c>
    </row>
    <row r="179" spans="1:17" ht="18" customHeight="1">
      <c r="A179" s="343"/>
      <c r="B179" s="347"/>
      <c r="C179" s="26"/>
      <c r="D179" s="25"/>
      <c r="E179" s="27"/>
      <c r="F179" s="12">
        <v>83391</v>
      </c>
      <c r="G179" s="24"/>
      <c r="H179" s="28"/>
      <c r="I179" s="348" t="s">
        <v>337</v>
      </c>
      <c r="J179" s="284">
        <v>12500000</v>
      </c>
      <c r="K179" s="285" t="s">
        <v>468</v>
      </c>
      <c r="L179" s="286" t="s">
        <v>469</v>
      </c>
      <c r="M179" s="287">
        <v>12</v>
      </c>
      <c r="N179" s="287" t="s">
        <v>467</v>
      </c>
      <c r="O179" s="288" t="s">
        <v>460</v>
      </c>
      <c r="P179" s="284">
        <f>J179*M179</f>
        <v>150000000</v>
      </c>
      <c r="Q179" s="289" t="s">
        <v>468</v>
      </c>
    </row>
    <row r="180" spans="1:17" ht="20.100000000000001" customHeight="1">
      <c r="A180" s="281"/>
      <c r="B180" s="327" t="s">
        <v>488</v>
      </c>
      <c r="C180" s="349" t="s">
        <v>4</v>
      </c>
      <c r="D180" s="350">
        <f>SUM(D181:D210)</f>
        <v>23660</v>
      </c>
      <c r="E180" s="351">
        <f>SUM(E181:E210)</f>
        <v>23660</v>
      </c>
      <c r="F180" s="352">
        <f>SUM(F181:F210)</f>
        <v>19389</v>
      </c>
      <c r="G180" s="238">
        <f>+E180-D180</f>
        <v>0</v>
      </c>
      <c r="H180" s="239">
        <f>G180/D180*100</f>
        <v>0</v>
      </c>
      <c r="I180" s="240"/>
      <c r="J180" s="241"/>
      <c r="K180" s="242"/>
      <c r="L180" s="242"/>
      <c r="M180" s="244"/>
      <c r="N180" s="244"/>
      <c r="O180" s="244"/>
      <c r="P180" s="302">
        <f>SUM(P181,P207)</f>
        <v>23660000</v>
      </c>
      <c r="Q180" s="102" t="s">
        <v>468</v>
      </c>
    </row>
    <row r="181" spans="1:17" ht="15.95" customHeight="1">
      <c r="A181" s="90"/>
      <c r="B181" s="330" t="s">
        <v>72</v>
      </c>
      <c r="C181" s="353" t="s">
        <v>339</v>
      </c>
      <c r="D181" s="246">
        <v>17000</v>
      </c>
      <c r="E181" s="247">
        <f>+P181/1000</f>
        <v>17000</v>
      </c>
      <c r="F181" s="248">
        <v>17389</v>
      </c>
      <c r="G181" s="268">
        <f>+E181-D181</f>
        <v>0</v>
      </c>
      <c r="H181" s="269">
        <f>+G181/D181*100</f>
        <v>0</v>
      </c>
      <c r="I181" s="121"/>
      <c r="J181" s="257"/>
      <c r="K181" s="100"/>
      <c r="L181" s="122"/>
      <c r="M181" s="138" t="s">
        <v>459</v>
      </c>
      <c r="N181" s="138"/>
      <c r="O181" s="138"/>
      <c r="P181" s="257">
        <f>+P182+P185+P188+P190+P192+P195+P199+P202+P204</f>
        <v>17000000</v>
      </c>
      <c r="Q181" s="354" t="s">
        <v>468</v>
      </c>
    </row>
    <row r="182" spans="1:17" ht="15.95" customHeight="1">
      <c r="A182" s="90"/>
      <c r="B182" s="330"/>
      <c r="C182" s="355"/>
      <c r="D182" s="252"/>
      <c r="E182" s="253"/>
      <c r="F182" s="254"/>
      <c r="G182" s="273"/>
      <c r="H182" s="274"/>
      <c r="I182" s="356" t="s">
        <v>432</v>
      </c>
      <c r="J182" s="357"/>
      <c r="K182" s="358"/>
      <c r="L182" s="359"/>
      <c r="M182" s="360"/>
      <c r="N182" s="360"/>
      <c r="O182" s="361"/>
      <c r="P182" s="357">
        <f>SUM(P183:P184)</f>
        <v>3000000</v>
      </c>
      <c r="Q182" s="354" t="s">
        <v>468</v>
      </c>
    </row>
    <row r="183" spans="1:17" ht="15.95" customHeight="1">
      <c r="A183" s="90"/>
      <c r="B183" s="330"/>
      <c r="C183" s="355"/>
      <c r="D183" s="252"/>
      <c r="E183" s="253"/>
      <c r="F183" s="254"/>
      <c r="G183" s="273"/>
      <c r="H183" s="274"/>
      <c r="I183" s="346" t="s">
        <v>297</v>
      </c>
      <c r="J183" s="257">
        <v>2000000</v>
      </c>
      <c r="K183" s="100" t="s">
        <v>468</v>
      </c>
      <c r="L183" s="122" t="s">
        <v>469</v>
      </c>
      <c r="M183" s="101">
        <v>1</v>
      </c>
      <c r="N183" s="101" t="s">
        <v>467</v>
      </c>
      <c r="O183" s="123" t="s">
        <v>460</v>
      </c>
      <c r="P183" s="257">
        <f>SUM(J183*M183)</f>
        <v>2000000</v>
      </c>
      <c r="Q183" s="125" t="s">
        <v>468</v>
      </c>
    </row>
    <row r="184" spans="1:17" ht="15.95" customHeight="1">
      <c r="A184" s="90"/>
      <c r="B184" s="104"/>
      <c r="C184" s="355"/>
      <c r="D184" s="252"/>
      <c r="E184" s="253"/>
      <c r="F184" s="254"/>
      <c r="G184" s="273"/>
      <c r="H184" s="274"/>
      <c r="I184" s="346" t="s">
        <v>529</v>
      </c>
      <c r="J184" s="257">
        <v>100000</v>
      </c>
      <c r="K184" s="100" t="s">
        <v>468</v>
      </c>
      <c r="L184" s="122" t="s">
        <v>469</v>
      </c>
      <c r="M184" s="101">
        <v>10</v>
      </c>
      <c r="N184" s="101" t="s">
        <v>467</v>
      </c>
      <c r="O184" s="123" t="s">
        <v>460</v>
      </c>
      <c r="P184" s="257">
        <f>SUM(J184*M184)</f>
        <v>1000000</v>
      </c>
      <c r="Q184" s="125" t="s">
        <v>468</v>
      </c>
    </row>
    <row r="185" spans="1:17" ht="15.95" customHeight="1">
      <c r="A185" s="362"/>
      <c r="B185" s="363"/>
      <c r="C185" s="355"/>
      <c r="D185" s="252"/>
      <c r="E185" s="253"/>
      <c r="F185" s="254"/>
      <c r="G185" s="273"/>
      <c r="H185" s="274"/>
      <c r="I185" s="364" t="s">
        <v>356</v>
      </c>
      <c r="J185" s="332"/>
      <c r="K185" s="333"/>
      <c r="L185" s="334"/>
      <c r="M185" s="335"/>
      <c r="N185" s="335"/>
      <c r="O185" s="336"/>
      <c r="P185" s="332">
        <f>SUM(P186:P187)</f>
        <v>1500000</v>
      </c>
      <c r="Q185" s="125" t="s">
        <v>468</v>
      </c>
    </row>
    <row r="186" spans="1:17" ht="15.95" customHeight="1">
      <c r="A186" s="90"/>
      <c r="B186" s="365"/>
      <c r="C186" s="355"/>
      <c r="D186" s="252"/>
      <c r="E186" s="253"/>
      <c r="F186" s="254"/>
      <c r="G186" s="273"/>
      <c r="H186" s="274"/>
      <c r="I186" s="346" t="s">
        <v>537</v>
      </c>
      <c r="J186" s="257">
        <v>1000000</v>
      </c>
      <c r="K186" s="100" t="s">
        <v>468</v>
      </c>
      <c r="L186" s="122" t="s">
        <v>469</v>
      </c>
      <c r="M186" s="101">
        <v>1</v>
      </c>
      <c r="N186" s="101" t="s">
        <v>467</v>
      </c>
      <c r="O186" s="123" t="s">
        <v>460</v>
      </c>
      <c r="P186" s="257">
        <f>SUM(J186*M186)</f>
        <v>1000000</v>
      </c>
      <c r="Q186" s="125" t="s">
        <v>468</v>
      </c>
    </row>
    <row r="187" spans="1:17" ht="15.95" customHeight="1">
      <c r="A187" s="90"/>
      <c r="B187" s="365"/>
      <c r="C187" s="355"/>
      <c r="D187" s="252"/>
      <c r="E187" s="253"/>
      <c r="F187" s="254"/>
      <c r="G187" s="273"/>
      <c r="H187" s="274"/>
      <c r="I187" s="346" t="s">
        <v>264</v>
      </c>
      <c r="J187" s="257">
        <v>500000</v>
      </c>
      <c r="K187" s="100" t="s">
        <v>468</v>
      </c>
      <c r="L187" s="122" t="s">
        <v>469</v>
      </c>
      <c r="M187" s="101">
        <v>1</v>
      </c>
      <c r="N187" s="101" t="s">
        <v>467</v>
      </c>
      <c r="O187" s="123" t="s">
        <v>460</v>
      </c>
      <c r="P187" s="257">
        <f>SUM(J187*M187)</f>
        <v>500000</v>
      </c>
      <c r="Q187" s="125" t="s">
        <v>468</v>
      </c>
    </row>
    <row r="188" spans="1:17" ht="15.95" customHeight="1">
      <c r="A188" s="90"/>
      <c r="B188" s="365"/>
      <c r="C188" s="355"/>
      <c r="D188" s="252"/>
      <c r="E188" s="253"/>
      <c r="F188" s="254"/>
      <c r="G188" s="273"/>
      <c r="H188" s="274"/>
      <c r="I188" s="364" t="s">
        <v>351</v>
      </c>
      <c r="J188" s="332"/>
      <c r="K188" s="333"/>
      <c r="L188" s="334"/>
      <c r="M188" s="335"/>
      <c r="N188" s="335"/>
      <c r="O188" s="336"/>
      <c r="P188" s="332">
        <f>SUM(P189:P189)</f>
        <v>1500000</v>
      </c>
      <c r="Q188" s="125" t="s">
        <v>468</v>
      </c>
    </row>
    <row r="189" spans="1:17" ht="15.95" customHeight="1">
      <c r="A189" s="90"/>
      <c r="B189" s="104"/>
      <c r="C189" s="355"/>
      <c r="D189" s="252"/>
      <c r="E189" s="253"/>
      <c r="F189" s="254"/>
      <c r="G189" s="273"/>
      <c r="H189" s="274"/>
      <c r="I189" s="346" t="s">
        <v>536</v>
      </c>
      <c r="J189" s="257">
        <v>1500000</v>
      </c>
      <c r="K189" s="100" t="s">
        <v>468</v>
      </c>
      <c r="L189" s="122" t="s">
        <v>469</v>
      </c>
      <c r="M189" s="101">
        <v>1</v>
      </c>
      <c r="N189" s="101" t="s">
        <v>467</v>
      </c>
      <c r="O189" s="123" t="s">
        <v>460</v>
      </c>
      <c r="P189" s="257">
        <f>SUM(J189*M189)</f>
        <v>1500000</v>
      </c>
      <c r="Q189" s="125" t="s">
        <v>468</v>
      </c>
    </row>
    <row r="190" spans="1:17" ht="15.95" customHeight="1">
      <c r="A190" s="90"/>
      <c r="B190" s="104"/>
      <c r="C190" s="355"/>
      <c r="D190" s="252"/>
      <c r="E190" s="253"/>
      <c r="F190" s="254"/>
      <c r="G190" s="273"/>
      <c r="H190" s="274"/>
      <c r="I190" s="364" t="s">
        <v>349</v>
      </c>
      <c r="J190" s="332"/>
      <c r="K190" s="333"/>
      <c r="L190" s="334"/>
      <c r="M190" s="335"/>
      <c r="N190" s="335"/>
      <c r="O190" s="336"/>
      <c r="P190" s="332">
        <f>SUM(P191:P191)</f>
        <v>1500000</v>
      </c>
      <c r="Q190" s="125" t="s">
        <v>468</v>
      </c>
    </row>
    <row r="191" spans="1:17" ht="15.95" customHeight="1">
      <c r="A191" s="90"/>
      <c r="B191" s="104"/>
      <c r="C191" s="355"/>
      <c r="D191" s="252"/>
      <c r="E191" s="253"/>
      <c r="F191" s="254"/>
      <c r="G191" s="273"/>
      <c r="H191" s="274"/>
      <c r="I191" s="346" t="s">
        <v>538</v>
      </c>
      <c r="J191" s="257">
        <v>1500000</v>
      </c>
      <c r="K191" s="100" t="s">
        <v>468</v>
      </c>
      <c r="L191" s="122" t="s">
        <v>469</v>
      </c>
      <c r="M191" s="101">
        <v>1</v>
      </c>
      <c r="N191" s="101" t="s">
        <v>467</v>
      </c>
      <c r="O191" s="123" t="s">
        <v>460</v>
      </c>
      <c r="P191" s="257">
        <f>SUM(J191*M191)</f>
        <v>1500000</v>
      </c>
      <c r="Q191" s="125" t="s">
        <v>468</v>
      </c>
    </row>
    <row r="192" spans="1:17" ht="15.95" customHeight="1">
      <c r="A192" s="90"/>
      <c r="B192" s="104"/>
      <c r="C192" s="355"/>
      <c r="D192" s="252"/>
      <c r="E192" s="253"/>
      <c r="F192" s="254"/>
      <c r="G192" s="273"/>
      <c r="H192" s="274"/>
      <c r="I192" s="364" t="s">
        <v>360</v>
      </c>
      <c r="J192" s="332"/>
      <c r="K192" s="333"/>
      <c r="L192" s="334"/>
      <c r="M192" s="335"/>
      <c r="N192" s="335"/>
      <c r="O192" s="336"/>
      <c r="P192" s="332">
        <f>SUM(P193:P194)</f>
        <v>1500000</v>
      </c>
      <c r="Q192" s="202" t="s">
        <v>468</v>
      </c>
    </row>
    <row r="193" spans="1:17" ht="15.95" customHeight="1">
      <c r="A193" s="90"/>
      <c r="B193" s="104"/>
      <c r="C193" s="355"/>
      <c r="D193" s="252"/>
      <c r="E193" s="253"/>
      <c r="F193" s="254"/>
      <c r="G193" s="273"/>
      <c r="H193" s="274"/>
      <c r="I193" s="346" t="s">
        <v>347</v>
      </c>
      <c r="J193" s="257">
        <v>500000</v>
      </c>
      <c r="K193" s="100" t="s">
        <v>468</v>
      </c>
      <c r="L193" s="122" t="s">
        <v>469</v>
      </c>
      <c r="M193" s="101">
        <v>1</v>
      </c>
      <c r="N193" s="101" t="s">
        <v>467</v>
      </c>
      <c r="O193" s="123" t="s">
        <v>460</v>
      </c>
      <c r="P193" s="257">
        <f>SUM(J193*M193)</f>
        <v>500000</v>
      </c>
      <c r="Q193" s="125" t="s">
        <v>468</v>
      </c>
    </row>
    <row r="194" spans="1:17" ht="15.95" customHeight="1">
      <c r="A194" s="90"/>
      <c r="B194" s="104"/>
      <c r="C194" s="355"/>
      <c r="D194" s="252"/>
      <c r="E194" s="253"/>
      <c r="F194" s="254"/>
      <c r="G194" s="273"/>
      <c r="H194" s="274"/>
      <c r="I194" s="346" t="s">
        <v>354</v>
      </c>
      <c r="J194" s="257">
        <v>1000000</v>
      </c>
      <c r="K194" s="100" t="s">
        <v>468</v>
      </c>
      <c r="L194" s="122" t="s">
        <v>469</v>
      </c>
      <c r="M194" s="101">
        <v>1</v>
      </c>
      <c r="N194" s="101" t="s">
        <v>467</v>
      </c>
      <c r="O194" s="123" t="s">
        <v>460</v>
      </c>
      <c r="P194" s="257">
        <f>SUM(J194*M194)</f>
        <v>1000000</v>
      </c>
      <c r="Q194" s="125" t="s">
        <v>468</v>
      </c>
    </row>
    <row r="195" spans="1:17" ht="15.95" customHeight="1">
      <c r="A195" s="326"/>
      <c r="B195" s="330"/>
      <c r="C195" s="355"/>
      <c r="D195" s="252"/>
      <c r="E195" s="253"/>
      <c r="F195" s="254"/>
      <c r="G195" s="273"/>
      <c r="H195" s="274"/>
      <c r="I195" s="364" t="s">
        <v>421</v>
      </c>
      <c r="J195" s="332"/>
      <c r="K195" s="333"/>
      <c r="L195" s="334"/>
      <c r="M195" s="335"/>
      <c r="N195" s="335"/>
      <c r="O195" s="336"/>
      <c r="P195" s="332">
        <f>SUM(P196:P198)</f>
        <v>3000000</v>
      </c>
      <c r="Q195" s="125" t="s">
        <v>468</v>
      </c>
    </row>
    <row r="196" spans="1:17" ht="15.95" customHeight="1">
      <c r="A196" s="90"/>
      <c r="B196" s="330"/>
      <c r="C196" s="355"/>
      <c r="D196" s="252"/>
      <c r="E196" s="253"/>
      <c r="F196" s="254"/>
      <c r="G196" s="273"/>
      <c r="H196" s="274"/>
      <c r="I196" s="346" t="s">
        <v>536</v>
      </c>
      <c r="J196" s="257">
        <v>600000</v>
      </c>
      <c r="K196" s="100" t="s">
        <v>468</v>
      </c>
      <c r="L196" s="122" t="s">
        <v>469</v>
      </c>
      <c r="M196" s="101">
        <v>1</v>
      </c>
      <c r="N196" s="101" t="s">
        <v>467</v>
      </c>
      <c r="O196" s="123" t="s">
        <v>460</v>
      </c>
      <c r="P196" s="257">
        <f>SUM(J196*M196)</f>
        <v>600000</v>
      </c>
      <c r="Q196" s="125" t="s">
        <v>468</v>
      </c>
    </row>
    <row r="197" spans="1:17" ht="15.95" customHeight="1">
      <c r="A197" s="90" t="s">
        <v>490</v>
      </c>
      <c r="B197" s="330" t="s">
        <v>488</v>
      </c>
      <c r="C197" s="355"/>
      <c r="D197" s="252"/>
      <c r="E197" s="253"/>
      <c r="F197" s="254"/>
      <c r="G197" s="273"/>
      <c r="H197" s="274"/>
      <c r="I197" s="346" t="s">
        <v>354</v>
      </c>
      <c r="J197" s="257">
        <v>400000</v>
      </c>
      <c r="K197" s="100" t="s">
        <v>468</v>
      </c>
      <c r="L197" s="122" t="s">
        <v>469</v>
      </c>
      <c r="M197" s="101">
        <v>1</v>
      </c>
      <c r="N197" s="101" t="s">
        <v>467</v>
      </c>
      <c r="O197" s="123" t="s">
        <v>460</v>
      </c>
      <c r="P197" s="257">
        <f>SUM(J197*M197)</f>
        <v>400000</v>
      </c>
      <c r="Q197" s="125" t="s">
        <v>468</v>
      </c>
    </row>
    <row r="198" spans="1:17" ht="15.95" customHeight="1">
      <c r="A198" s="90"/>
      <c r="B198" s="330" t="s">
        <v>72</v>
      </c>
      <c r="C198" s="355"/>
      <c r="D198" s="252"/>
      <c r="E198" s="253"/>
      <c r="F198" s="254"/>
      <c r="G198" s="273"/>
      <c r="H198" s="274"/>
      <c r="I198" s="346" t="s">
        <v>346</v>
      </c>
      <c r="J198" s="257">
        <v>2000000</v>
      </c>
      <c r="K198" s="100" t="s">
        <v>468</v>
      </c>
      <c r="L198" s="122" t="s">
        <v>469</v>
      </c>
      <c r="M198" s="101">
        <v>1</v>
      </c>
      <c r="N198" s="101" t="s">
        <v>467</v>
      </c>
      <c r="O198" s="123" t="s">
        <v>460</v>
      </c>
      <c r="P198" s="257">
        <f>SUM(J198*M198)</f>
        <v>2000000</v>
      </c>
      <c r="Q198" s="125" t="s">
        <v>468</v>
      </c>
    </row>
    <row r="199" spans="1:17" ht="15.95" customHeight="1">
      <c r="A199" s="90"/>
      <c r="B199" s="366"/>
      <c r="C199" s="355"/>
      <c r="D199" s="252"/>
      <c r="E199" s="253"/>
      <c r="F199" s="254"/>
      <c r="G199" s="273"/>
      <c r="H199" s="274"/>
      <c r="I199" s="364" t="s">
        <v>273</v>
      </c>
      <c r="J199" s="332"/>
      <c r="K199" s="333"/>
      <c r="L199" s="334"/>
      <c r="M199" s="335"/>
      <c r="N199" s="335"/>
      <c r="O199" s="336"/>
      <c r="P199" s="332">
        <f>SUM(P200:P201)</f>
        <v>2900000</v>
      </c>
      <c r="Q199" s="125" t="s">
        <v>468</v>
      </c>
    </row>
    <row r="200" spans="1:17" ht="15.95" customHeight="1">
      <c r="A200" s="90"/>
      <c r="B200" s="366"/>
      <c r="C200" s="355"/>
      <c r="D200" s="252"/>
      <c r="E200" s="253"/>
      <c r="F200" s="254"/>
      <c r="G200" s="273"/>
      <c r="H200" s="274"/>
      <c r="I200" s="346" t="s">
        <v>358</v>
      </c>
      <c r="J200" s="257">
        <v>900000</v>
      </c>
      <c r="K200" s="100" t="s">
        <v>468</v>
      </c>
      <c r="L200" s="122" t="s">
        <v>469</v>
      </c>
      <c r="M200" s="101">
        <v>1</v>
      </c>
      <c r="N200" s="101" t="s">
        <v>467</v>
      </c>
      <c r="O200" s="123" t="s">
        <v>460</v>
      </c>
      <c r="P200" s="257">
        <f>SUM(J200*M200)</f>
        <v>900000</v>
      </c>
      <c r="Q200" s="125" t="s">
        <v>468</v>
      </c>
    </row>
    <row r="201" spans="1:17" ht="15.95" customHeight="1">
      <c r="A201" s="90"/>
      <c r="B201" s="104"/>
      <c r="C201" s="355"/>
      <c r="D201" s="252"/>
      <c r="E201" s="253"/>
      <c r="F201" s="254"/>
      <c r="G201" s="273"/>
      <c r="H201" s="274"/>
      <c r="I201" s="346" t="s">
        <v>345</v>
      </c>
      <c r="J201" s="257">
        <v>2000000</v>
      </c>
      <c r="K201" s="100" t="s">
        <v>468</v>
      </c>
      <c r="L201" s="122" t="s">
        <v>469</v>
      </c>
      <c r="M201" s="101">
        <v>1</v>
      </c>
      <c r="N201" s="101" t="s">
        <v>467</v>
      </c>
      <c r="O201" s="123" t="s">
        <v>460</v>
      </c>
      <c r="P201" s="257">
        <f>SUM(J201*M201)</f>
        <v>2000000</v>
      </c>
      <c r="Q201" s="125" t="s">
        <v>468</v>
      </c>
    </row>
    <row r="202" spans="1:17" ht="15.95" customHeight="1">
      <c r="A202" s="90"/>
      <c r="B202" s="104"/>
      <c r="C202" s="355"/>
      <c r="D202" s="252"/>
      <c r="E202" s="253"/>
      <c r="F202" s="254"/>
      <c r="G202" s="273"/>
      <c r="H202" s="274"/>
      <c r="I202" s="367" t="s">
        <v>323</v>
      </c>
      <c r="J202" s="368"/>
      <c r="K202" s="333"/>
      <c r="L202" s="334"/>
      <c r="M202" s="335"/>
      <c r="N202" s="335"/>
      <c r="O202" s="336"/>
      <c r="P202" s="332">
        <f>+P203</f>
        <v>1500000</v>
      </c>
      <c r="Q202" s="125" t="s">
        <v>468</v>
      </c>
    </row>
    <row r="203" spans="1:17" ht="15.95" customHeight="1">
      <c r="A203" s="90"/>
      <c r="B203" s="104"/>
      <c r="C203" s="355"/>
      <c r="D203" s="252"/>
      <c r="E203" s="253"/>
      <c r="F203" s="254"/>
      <c r="G203" s="273"/>
      <c r="H203" s="274"/>
      <c r="I203" s="346" t="s">
        <v>329</v>
      </c>
      <c r="J203" s="257">
        <v>250000</v>
      </c>
      <c r="K203" s="100" t="s">
        <v>468</v>
      </c>
      <c r="L203" s="122" t="s">
        <v>469</v>
      </c>
      <c r="M203" s="101">
        <v>6</v>
      </c>
      <c r="N203" s="101" t="s">
        <v>522</v>
      </c>
      <c r="O203" s="123" t="s">
        <v>460</v>
      </c>
      <c r="P203" s="257">
        <f>SUM(J203*M203)</f>
        <v>1500000</v>
      </c>
      <c r="Q203" s="125" t="s">
        <v>468</v>
      </c>
    </row>
    <row r="204" spans="1:17" ht="15.95" customHeight="1">
      <c r="A204" s="90"/>
      <c r="B204" s="104"/>
      <c r="C204" s="355"/>
      <c r="D204" s="252"/>
      <c r="E204" s="253"/>
      <c r="F204" s="254"/>
      <c r="G204" s="273"/>
      <c r="H204" s="274"/>
      <c r="I204" s="364" t="s">
        <v>255</v>
      </c>
      <c r="J204" s="332"/>
      <c r="K204" s="333"/>
      <c r="L204" s="334"/>
      <c r="M204" s="335"/>
      <c r="N204" s="335"/>
      <c r="O204" s="336"/>
      <c r="P204" s="332">
        <f>SUM(P205:P206)</f>
        <v>600000</v>
      </c>
      <c r="Q204" s="125" t="s">
        <v>468</v>
      </c>
    </row>
    <row r="205" spans="1:17" ht="15.95" customHeight="1">
      <c r="A205" s="90"/>
      <c r="B205" s="104"/>
      <c r="C205" s="355"/>
      <c r="D205" s="252"/>
      <c r="E205" s="253"/>
      <c r="F205" s="254"/>
      <c r="G205" s="273"/>
      <c r="H205" s="274"/>
      <c r="I205" s="346" t="s">
        <v>321</v>
      </c>
      <c r="J205" s="257">
        <v>300000</v>
      </c>
      <c r="K205" s="100" t="s">
        <v>468</v>
      </c>
      <c r="L205" s="122" t="s">
        <v>469</v>
      </c>
      <c r="M205" s="101">
        <v>1</v>
      </c>
      <c r="N205" s="101" t="s">
        <v>467</v>
      </c>
      <c r="O205" s="123" t="s">
        <v>460</v>
      </c>
      <c r="P205" s="257">
        <f>SUM(J205*M205)</f>
        <v>300000</v>
      </c>
      <c r="Q205" s="125" t="s">
        <v>468</v>
      </c>
    </row>
    <row r="206" spans="1:17" ht="16.5" customHeight="1">
      <c r="A206" s="90"/>
      <c r="B206" s="104"/>
      <c r="C206" s="355"/>
      <c r="D206" s="252"/>
      <c r="E206" s="253"/>
      <c r="F206" s="254"/>
      <c r="G206" s="273"/>
      <c r="H206" s="274"/>
      <c r="I206" s="346" t="s">
        <v>316</v>
      </c>
      <c r="J206" s="257">
        <v>300000</v>
      </c>
      <c r="K206" s="100" t="s">
        <v>468</v>
      </c>
      <c r="L206" s="122" t="s">
        <v>469</v>
      </c>
      <c r="M206" s="101">
        <v>1</v>
      </c>
      <c r="N206" s="101" t="s">
        <v>467</v>
      </c>
      <c r="O206" s="123" t="s">
        <v>460</v>
      </c>
      <c r="P206" s="257">
        <f>SUM(J206*M206)</f>
        <v>300000</v>
      </c>
      <c r="Q206" s="125" t="s">
        <v>468</v>
      </c>
    </row>
    <row r="207" spans="1:17" ht="15.95" customHeight="1">
      <c r="A207" s="90"/>
      <c r="B207" s="330"/>
      <c r="C207" s="105" t="s">
        <v>211</v>
      </c>
      <c r="D207" s="266">
        <v>6660</v>
      </c>
      <c r="E207" s="267">
        <f>+P207/1000</f>
        <v>6660</v>
      </c>
      <c r="F207" s="136">
        <v>2000</v>
      </c>
      <c r="G207" s="268">
        <f>+E207-D207</f>
        <v>0</v>
      </c>
      <c r="H207" s="269">
        <f>G207/D207*100</f>
        <v>0</v>
      </c>
      <c r="I207" s="369"/>
      <c r="J207" s="251"/>
      <c r="K207" s="112"/>
      <c r="L207" s="214"/>
      <c r="M207" s="138" t="s">
        <v>473</v>
      </c>
      <c r="N207" s="138"/>
      <c r="O207" s="138"/>
      <c r="P207" s="251">
        <f>SUM(P208:P210)</f>
        <v>6660000</v>
      </c>
      <c r="Q207" s="114" t="s">
        <v>468</v>
      </c>
    </row>
    <row r="208" spans="1:17" ht="15.95" customHeight="1">
      <c r="A208" s="90"/>
      <c r="B208" s="330"/>
      <c r="C208" s="116"/>
      <c r="D208" s="271"/>
      <c r="E208" s="272"/>
      <c r="F208" s="141"/>
      <c r="G208" s="273"/>
      <c r="H208" s="274"/>
      <c r="I208" s="370" t="s">
        <v>207</v>
      </c>
      <c r="J208" s="257">
        <v>2500000</v>
      </c>
      <c r="K208" s="100" t="s">
        <v>468</v>
      </c>
      <c r="L208" s="122" t="s">
        <v>469</v>
      </c>
      <c r="M208" s="101">
        <v>1</v>
      </c>
      <c r="N208" s="101" t="s">
        <v>467</v>
      </c>
      <c r="O208" s="123" t="s">
        <v>460</v>
      </c>
      <c r="P208" s="257">
        <f>SUM(J208*M208)</f>
        <v>2500000</v>
      </c>
      <c r="Q208" s="125" t="s">
        <v>468</v>
      </c>
    </row>
    <row r="209" spans="1:17" ht="15.95" customHeight="1">
      <c r="A209" s="90"/>
      <c r="B209" s="330"/>
      <c r="C209" s="116"/>
      <c r="D209" s="271"/>
      <c r="E209" s="272"/>
      <c r="F209" s="147"/>
      <c r="G209" s="273"/>
      <c r="H209" s="274"/>
      <c r="I209" s="371" t="s">
        <v>417</v>
      </c>
      <c r="J209" s="257">
        <v>1660000</v>
      </c>
      <c r="K209" s="100" t="s">
        <v>468</v>
      </c>
      <c r="L209" s="122" t="s">
        <v>469</v>
      </c>
      <c r="M209" s="101">
        <v>1</v>
      </c>
      <c r="N209" s="101" t="s">
        <v>467</v>
      </c>
      <c r="O209" s="123" t="s">
        <v>460</v>
      </c>
      <c r="P209" s="257">
        <f>SUM(J209*M209)</f>
        <v>1660000</v>
      </c>
      <c r="Q209" s="125" t="s">
        <v>468</v>
      </c>
    </row>
    <row r="210" spans="1:17" ht="15.95" customHeight="1">
      <c r="A210" s="90"/>
      <c r="B210" s="330"/>
      <c r="C210" s="116"/>
      <c r="D210" s="271"/>
      <c r="E210" s="272"/>
      <c r="F210" s="119"/>
      <c r="G210" s="273"/>
      <c r="H210" s="274"/>
      <c r="I210" s="371" t="s">
        <v>302</v>
      </c>
      <c r="J210" s="257">
        <v>2500000</v>
      </c>
      <c r="K210" s="100" t="s">
        <v>468</v>
      </c>
      <c r="L210" s="122" t="s">
        <v>469</v>
      </c>
      <c r="M210" s="101">
        <v>1</v>
      </c>
      <c r="N210" s="101" t="s">
        <v>467</v>
      </c>
      <c r="O210" s="123" t="s">
        <v>460</v>
      </c>
      <c r="P210" s="257">
        <f>SUM(J210*M210)</f>
        <v>2500000</v>
      </c>
      <c r="Q210" s="125" t="s">
        <v>468</v>
      </c>
    </row>
    <row r="211" spans="1:17" ht="20.100000000000001" customHeight="1">
      <c r="A211" s="326"/>
      <c r="B211" s="178" t="s">
        <v>2</v>
      </c>
      <c r="C211" s="372" t="s">
        <v>459</v>
      </c>
      <c r="D211" s="373">
        <f>+D212+D218</f>
        <v>45760</v>
      </c>
      <c r="E211" s="374">
        <f>SUM(E212:E219)</f>
        <v>20370</v>
      </c>
      <c r="F211" s="108" t="e">
        <f>+#REF!+F212+#REF!+#REF!+F218</f>
        <v>#REF!</v>
      </c>
      <c r="G211" s="375">
        <f>+E211-D211</f>
        <v>-25390</v>
      </c>
      <c r="H211" s="376">
        <f>+G211/D211*100</f>
        <v>-55.485139860139867</v>
      </c>
      <c r="I211" s="171"/>
      <c r="J211" s="111"/>
      <c r="K211" s="112"/>
      <c r="L211" s="214"/>
      <c r="M211" s="113"/>
      <c r="N211" s="113"/>
      <c r="O211" s="377"/>
      <c r="P211" s="111">
        <f>SUM(P212,P218)</f>
        <v>20370000</v>
      </c>
      <c r="Q211" s="114" t="s">
        <v>468</v>
      </c>
    </row>
    <row r="212" spans="1:17" ht="15.95" customHeight="1">
      <c r="A212" s="90"/>
      <c r="B212" s="104"/>
      <c r="C212" s="378" t="s">
        <v>20</v>
      </c>
      <c r="D212" s="266">
        <v>45250</v>
      </c>
      <c r="E212" s="267">
        <f>+P212/1000</f>
        <v>19860</v>
      </c>
      <c r="F212" s="136">
        <v>14521</v>
      </c>
      <c r="G212" s="268">
        <f>+E212-D212</f>
        <v>-25390</v>
      </c>
      <c r="H212" s="269">
        <f>+G212/D212*100</f>
        <v>-56.110497237569056</v>
      </c>
      <c r="I212" s="171"/>
      <c r="J212" s="251"/>
      <c r="K212" s="112"/>
      <c r="L212" s="214"/>
      <c r="M212" s="138" t="s">
        <v>473</v>
      </c>
      <c r="N212" s="138"/>
      <c r="O212" s="138"/>
      <c r="P212" s="251">
        <f>SUM(P213:P217)</f>
        <v>19860000</v>
      </c>
      <c r="Q212" s="114" t="s">
        <v>468</v>
      </c>
    </row>
    <row r="213" spans="1:17" ht="15.95" customHeight="1">
      <c r="A213" s="90"/>
      <c r="B213" s="104"/>
      <c r="C213" s="379"/>
      <c r="D213" s="271"/>
      <c r="E213" s="272"/>
      <c r="F213" s="141"/>
      <c r="G213" s="273">
        <f>+E213-D213</f>
        <v>0</v>
      </c>
      <c r="H213" s="274" t="e">
        <f>+G213/D213*100</f>
        <v>#DIV/0!</v>
      </c>
      <c r="I213" s="292" t="s">
        <v>196</v>
      </c>
      <c r="J213" s="290">
        <v>2290000</v>
      </c>
      <c r="K213" s="198" t="s">
        <v>468</v>
      </c>
      <c r="L213" s="199" t="s">
        <v>469</v>
      </c>
      <c r="M213" s="200">
        <v>1</v>
      </c>
      <c r="N213" s="101" t="s">
        <v>470</v>
      </c>
      <c r="O213" s="123" t="s">
        <v>460</v>
      </c>
      <c r="P213" s="257">
        <f>SUM(J213*M213)</f>
        <v>2290000</v>
      </c>
      <c r="Q213" s="125" t="s">
        <v>468</v>
      </c>
    </row>
    <row r="214" spans="1:17" ht="15.95" customHeight="1">
      <c r="A214" s="90"/>
      <c r="B214" s="104"/>
      <c r="C214" s="379"/>
      <c r="D214" s="271"/>
      <c r="E214" s="272"/>
      <c r="F214" s="141"/>
      <c r="G214" s="273"/>
      <c r="H214" s="274"/>
      <c r="I214" s="292" t="s">
        <v>203</v>
      </c>
      <c r="J214" s="290">
        <v>1296000</v>
      </c>
      <c r="K214" s="198" t="s">
        <v>468</v>
      </c>
      <c r="L214" s="199" t="s">
        <v>469</v>
      </c>
      <c r="M214" s="200">
        <v>1</v>
      </c>
      <c r="N214" s="101" t="s">
        <v>470</v>
      </c>
      <c r="O214" s="101" t="s">
        <v>460</v>
      </c>
      <c r="P214" s="257">
        <f>SUM(J214*M214)</f>
        <v>1296000</v>
      </c>
      <c r="Q214" s="125" t="s">
        <v>468</v>
      </c>
    </row>
    <row r="215" spans="1:17" ht="15.95" customHeight="1">
      <c r="A215" s="90"/>
      <c r="B215" s="104"/>
      <c r="C215" s="379"/>
      <c r="D215" s="271"/>
      <c r="E215" s="272"/>
      <c r="F215" s="141"/>
      <c r="G215" s="273"/>
      <c r="H215" s="274"/>
      <c r="I215" s="292" t="s">
        <v>221</v>
      </c>
      <c r="J215" s="290">
        <v>1230000</v>
      </c>
      <c r="K215" s="198" t="s">
        <v>468</v>
      </c>
      <c r="L215" s="199" t="s">
        <v>469</v>
      </c>
      <c r="M215" s="200">
        <v>1</v>
      </c>
      <c r="N215" s="101" t="s">
        <v>470</v>
      </c>
      <c r="O215" s="123" t="s">
        <v>460</v>
      </c>
      <c r="P215" s="257">
        <f>SUM(J215*M215)</f>
        <v>1230000</v>
      </c>
      <c r="Q215" s="125" t="s">
        <v>468</v>
      </c>
    </row>
    <row r="216" spans="1:17" ht="15.95" customHeight="1">
      <c r="A216" s="90"/>
      <c r="B216" s="104"/>
      <c r="C216" s="379"/>
      <c r="D216" s="271"/>
      <c r="E216" s="272"/>
      <c r="F216" s="141"/>
      <c r="G216" s="273"/>
      <c r="H216" s="274"/>
      <c r="I216" s="292" t="s">
        <v>223</v>
      </c>
      <c r="J216" s="290">
        <v>4994000</v>
      </c>
      <c r="K216" s="198" t="s">
        <v>468</v>
      </c>
      <c r="L216" s="199" t="s">
        <v>469</v>
      </c>
      <c r="M216" s="200">
        <v>1</v>
      </c>
      <c r="N216" s="101" t="s">
        <v>467</v>
      </c>
      <c r="O216" s="123" t="s">
        <v>460</v>
      </c>
      <c r="P216" s="257">
        <f>SUM(J216*M216)</f>
        <v>4994000</v>
      </c>
      <c r="Q216" s="125" t="s">
        <v>468</v>
      </c>
    </row>
    <row r="217" spans="1:17" ht="15.95" customHeight="1">
      <c r="A217" s="90"/>
      <c r="B217" s="104"/>
      <c r="C217" s="379"/>
      <c r="D217" s="271"/>
      <c r="E217" s="272"/>
      <c r="F217" s="141"/>
      <c r="G217" s="273"/>
      <c r="H217" s="274"/>
      <c r="I217" s="292" t="s">
        <v>197</v>
      </c>
      <c r="J217" s="290">
        <v>10050000</v>
      </c>
      <c r="K217" s="198" t="s">
        <v>468</v>
      </c>
      <c r="L217" s="199" t="s">
        <v>469</v>
      </c>
      <c r="M217" s="200">
        <v>1</v>
      </c>
      <c r="N217" s="101" t="s">
        <v>470</v>
      </c>
      <c r="O217" s="123" t="s">
        <v>460</v>
      </c>
      <c r="P217" s="257">
        <f>SUM(J217*M217)</f>
        <v>10050000</v>
      </c>
      <c r="Q217" s="125" t="s">
        <v>468</v>
      </c>
    </row>
    <row r="218" spans="1:17" ht="15.95" customHeight="1">
      <c r="A218" s="90"/>
      <c r="B218" s="104"/>
      <c r="C218" s="380" t="s">
        <v>43</v>
      </c>
      <c r="D218" s="266">
        <v>510</v>
      </c>
      <c r="E218" s="267">
        <f>+P218/1000</f>
        <v>510</v>
      </c>
      <c r="F218" s="136">
        <v>346</v>
      </c>
      <c r="G218" s="268">
        <f>+E218-D218</f>
        <v>0</v>
      </c>
      <c r="H218" s="269">
        <f>+G218/D218*100</f>
        <v>0</v>
      </c>
      <c r="I218" s="171"/>
      <c r="J218" s="251"/>
      <c r="K218" s="112"/>
      <c r="L218" s="214"/>
      <c r="M218" s="138" t="s">
        <v>473</v>
      </c>
      <c r="N218" s="138"/>
      <c r="O218" s="138"/>
      <c r="P218" s="251">
        <f>SUM(P219:P219)</f>
        <v>510000</v>
      </c>
      <c r="Q218" s="114" t="s">
        <v>468</v>
      </c>
    </row>
    <row r="219" spans="1:17" ht="19.5" customHeight="1">
      <c r="A219" s="90"/>
      <c r="B219" s="166"/>
      <c r="C219" s="381"/>
      <c r="D219" s="276"/>
      <c r="E219" s="277"/>
      <c r="F219" s="147"/>
      <c r="G219" s="278"/>
      <c r="H219" s="279"/>
      <c r="I219" s="175" t="s">
        <v>43</v>
      </c>
      <c r="J219" s="264">
        <v>510000</v>
      </c>
      <c r="K219" s="160" t="s">
        <v>468</v>
      </c>
      <c r="L219" s="161" t="s">
        <v>469</v>
      </c>
      <c r="M219" s="163">
        <v>1</v>
      </c>
      <c r="N219" s="163" t="s">
        <v>467</v>
      </c>
      <c r="O219" s="167" t="s">
        <v>460</v>
      </c>
      <c r="P219" s="264">
        <f>SUM(J219*M219)</f>
        <v>510000</v>
      </c>
      <c r="Q219" s="164" t="s">
        <v>468</v>
      </c>
    </row>
    <row r="220" spans="1:17" ht="20.100000000000001" customHeight="1">
      <c r="A220" s="326"/>
      <c r="B220" s="178" t="s">
        <v>173</v>
      </c>
      <c r="C220" s="372" t="s">
        <v>459</v>
      </c>
      <c r="D220" s="373">
        <f>SUM(D221:D221:D226)</f>
        <v>27900</v>
      </c>
      <c r="E220" s="374">
        <f>SUM(E221:E224)</f>
        <v>27900</v>
      </c>
      <c r="F220" s="108">
        <f>SUM(F221:F235)</f>
        <v>16820</v>
      </c>
      <c r="G220" s="375">
        <f>+E220-D220</f>
        <v>0</v>
      </c>
      <c r="H220" s="376">
        <f>+G220/D220*100</f>
        <v>0</v>
      </c>
      <c r="I220" s="301"/>
      <c r="J220" s="241"/>
      <c r="K220" s="242"/>
      <c r="L220" s="328"/>
      <c r="M220" s="243"/>
      <c r="N220" s="243"/>
      <c r="O220" s="329"/>
      <c r="P220" s="241">
        <f>SUM(P221,P224)</f>
        <v>27900000</v>
      </c>
      <c r="Q220" s="102" t="s">
        <v>468</v>
      </c>
    </row>
    <row r="221" spans="1:17" ht="15.95" customHeight="1">
      <c r="A221" s="90"/>
      <c r="B221" s="104"/>
      <c r="C221" s="380" t="s">
        <v>187</v>
      </c>
      <c r="D221" s="266">
        <v>25000</v>
      </c>
      <c r="E221" s="267">
        <f>P221/1000</f>
        <v>25000</v>
      </c>
      <c r="F221" s="136">
        <v>300</v>
      </c>
      <c r="G221" s="268">
        <f>+E221-D221</f>
        <v>0</v>
      </c>
      <c r="H221" s="269">
        <f>+G221/D221*100</f>
        <v>0</v>
      </c>
      <c r="I221" s="171"/>
      <c r="J221" s="111"/>
      <c r="K221" s="112"/>
      <c r="L221" s="214"/>
      <c r="M221" s="138" t="s">
        <v>473</v>
      </c>
      <c r="N221" s="138"/>
      <c r="O221" s="138"/>
      <c r="P221" s="111">
        <f>SUM(P222:P223)</f>
        <v>25000000</v>
      </c>
      <c r="Q221" s="114" t="s">
        <v>468</v>
      </c>
    </row>
    <row r="222" spans="1:17" ht="15.95" customHeight="1">
      <c r="A222" s="90"/>
      <c r="B222" s="104"/>
      <c r="C222" s="379"/>
      <c r="D222" s="271"/>
      <c r="E222" s="272"/>
      <c r="F222" s="141"/>
      <c r="G222" s="273">
        <f>+E222-D222</f>
        <v>0</v>
      </c>
      <c r="H222" s="274" t="e">
        <f>+G222/D222*100</f>
        <v>#DIV/0!</v>
      </c>
      <c r="I222" s="173" t="s">
        <v>194</v>
      </c>
      <c r="J222" s="290">
        <v>18500000</v>
      </c>
      <c r="K222" s="100" t="s">
        <v>468</v>
      </c>
      <c r="L222" s="122" t="s">
        <v>469</v>
      </c>
      <c r="M222" s="101">
        <v>1</v>
      </c>
      <c r="N222" s="101" t="s">
        <v>470</v>
      </c>
      <c r="O222" s="123" t="s">
        <v>460</v>
      </c>
      <c r="P222" s="257">
        <f>SUM(J222*M222)</f>
        <v>18500000</v>
      </c>
      <c r="Q222" s="125" t="s">
        <v>468</v>
      </c>
    </row>
    <row r="223" spans="1:17" ht="15.95" customHeight="1">
      <c r="A223" s="90"/>
      <c r="B223" s="104"/>
      <c r="C223" s="379"/>
      <c r="D223" s="271"/>
      <c r="E223" s="272"/>
      <c r="F223" s="141"/>
      <c r="G223" s="273"/>
      <c r="H223" s="274"/>
      <c r="I223" s="173" t="s">
        <v>212</v>
      </c>
      <c r="J223" s="290">
        <v>6500000</v>
      </c>
      <c r="K223" s="100" t="s">
        <v>468</v>
      </c>
      <c r="L223" s="122" t="s">
        <v>469</v>
      </c>
      <c r="M223" s="101">
        <v>1</v>
      </c>
      <c r="N223" s="101" t="s">
        <v>470</v>
      </c>
      <c r="O223" s="123" t="s">
        <v>460</v>
      </c>
      <c r="P223" s="257">
        <f>SUM(J223*M223)</f>
        <v>6500000</v>
      </c>
      <c r="Q223" s="125" t="s">
        <v>468</v>
      </c>
    </row>
    <row r="224" spans="1:17" ht="15.95" customHeight="1">
      <c r="A224" s="90"/>
      <c r="B224" s="104"/>
      <c r="C224" s="353" t="s">
        <v>449</v>
      </c>
      <c r="D224" s="266">
        <v>2900</v>
      </c>
      <c r="E224" s="267">
        <f>+P224/1000</f>
        <v>2900</v>
      </c>
      <c r="F224" s="136">
        <v>2900</v>
      </c>
      <c r="G224" s="268">
        <f>+E224-D224</f>
        <v>0</v>
      </c>
      <c r="H224" s="269">
        <f>+G224/D224*100</f>
        <v>0</v>
      </c>
      <c r="I224" s="171"/>
      <c r="J224" s="251"/>
      <c r="K224" s="112"/>
      <c r="L224" s="214"/>
      <c r="M224" s="138" t="s">
        <v>473</v>
      </c>
      <c r="N224" s="138"/>
      <c r="O224" s="138"/>
      <c r="P224" s="251">
        <f>SUM(P225:P226)</f>
        <v>2900000</v>
      </c>
      <c r="Q224" s="114" t="s">
        <v>468</v>
      </c>
    </row>
    <row r="225" spans="1:17" ht="15.95" customHeight="1">
      <c r="A225" s="90"/>
      <c r="B225" s="104"/>
      <c r="C225" s="355"/>
      <c r="D225" s="271"/>
      <c r="E225" s="272"/>
      <c r="F225" s="141"/>
      <c r="G225" s="273">
        <f>+E225-D225</f>
        <v>0</v>
      </c>
      <c r="H225" s="274" t="e">
        <f>+G225/D225*100</f>
        <v>#DIV/0!</v>
      </c>
      <c r="I225" s="173" t="s">
        <v>201</v>
      </c>
      <c r="J225" s="257">
        <v>1300000</v>
      </c>
      <c r="K225" s="100" t="s">
        <v>468</v>
      </c>
      <c r="L225" s="122" t="s">
        <v>469</v>
      </c>
      <c r="M225" s="101">
        <v>1</v>
      </c>
      <c r="N225" s="101" t="s">
        <v>467</v>
      </c>
      <c r="O225" s="123" t="s">
        <v>460</v>
      </c>
      <c r="P225" s="257">
        <f>SUM(J225*M225)</f>
        <v>1300000</v>
      </c>
      <c r="Q225" s="125" t="s">
        <v>468</v>
      </c>
    </row>
    <row r="226" spans="1:17" ht="15.95" customHeight="1">
      <c r="A226" s="90"/>
      <c r="B226" s="166"/>
      <c r="C226" s="382"/>
      <c r="D226" s="276"/>
      <c r="E226" s="277"/>
      <c r="F226" s="147"/>
      <c r="G226" s="278">
        <f>+E226-D226</f>
        <v>0</v>
      </c>
      <c r="H226" s="279" t="e">
        <f>+G226/D226*100</f>
        <v>#DIV/0!</v>
      </c>
      <c r="I226" s="175" t="s">
        <v>229</v>
      </c>
      <c r="J226" s="264">
        <v>800000</v>
      </c>
      <c r="K226" s="160" t="s">
        <v>468</v>
      </c>
      <c r="L226" s="161" t="s">
        <v>469</v>
      </c>
      <c r="M226" s="163">
        <v>2</v>
      </c>
      <c r="N226" s="163" t="s">
        <v>467</v>
      </c>
      <c r="O226" s="167" t="s">
        <v>460</v>
      </c>
      <c r="P226" s="264">
        <f>SUM(J226*M226)</f>
        <v>1600000</v>
      </c>
      <c r="Q226" s="164" t="s">
        <v>468</v>
      </c>
    </row>
    <row r="227" spans="1:17" ht="20.100000000000001" customHeight="1">
      <c r="A227" s="383" t="s">
        <v>490</v>
      </c>
      <c r="B227" s="314" t="s">
        <v>174</v>
      </c>
      <c r="C227" s="384" t="s">
        <v>459</v>
      </c>
      <c r="D227" s="316">
        <f>SUM(D228:D235)</f>
        <v>20350</v>
      </c>
      <c r="E227" s="317">
        <f>P227/1000</f>
        <v>20350</v>
      </c>
      <c r="F227" s="119"/>
      <c r="G227" s="317">
        <f>E227-D227</f>
        <v>0</v>
      </c>
      <c r="H227" s="341">
        <f>G227/D227*100</f>
        <v>0</v>
      </c>
      <c r="I227" s="173"/>
      <c r="J227" s="257"/>
      <c r="K227" s="100"/>
      <c r="L227" s="122"/>
      <c r="M227" s="101"/>
      <c r="N227" s="101"/>
      <c r="O227" s="123"/>
      <c r="P227" s="257">
        <f>P228</f>
        <v>20350000</v>
      </c>
      <c r="Q227" s="125" t="s">
        <v>468</v>
      </c>
    </row>
    <row r="228" spans="1:17" ht="15.95" customHeight="1">
      <c r="A228" s="343"/>
      <c r="B228" s="234"/>
      <c r="C228" s="321" t="s">
        <v>22</v>
      </c>
      <c r="D228" s="266">
        <v>20350</v>
      </c>
      <c r="E228" s="267">
        <f>+P228/1000</f>
        <v>20350</v>
      </c>
      <c r="F228" s="136">
        <v>13620</v>
      </c>
      <c r="G228" s="268">
        <f>+E228-D228</f>
        <v>0</v>
      </c>
      <c r="H228" s="269">
        <f>+G228/D228*100</f>
        <v>0</v>
      </c>
      <c r="I228" s="171"/>
      <c r="J228" s="251"/>
      <c r="K228" s="112"/>
      <c r="L228" s="214"/>
      <c r="M228" s="138" t="s">
        <v>473</v>
      </c>
      <c r="N228" s="138"/>
      <c r="O228" s="138"/>
      <c r="P228" s="251">
        <f>SUM(P229:P235)</f>
        <v>20350000</v>
      </c>
      <c r="Q228" s="114" t="s">
        <v>468</v>
      </c>
    </row>
    <row r="229" spans="1:17" ht="15.95" customHeight="1">
      <c r="A229" s="343"/>
      <c r="B229" s="104"/>
      <c r="C229" s="322"/>
      <c r="D229" s="271"/>
      <c r="E229" s="272"/>
      <c r="F229" s="141"/>
      <c r="G229" s="273"/>
      <c r="H229" s="274"/>
      <c r="I229" s="385" t="s">
        <v>135</v>
      </c>
      <c r="J229" s="290">
        <v>12400000</v>
      </c>
      <c r="K229" s="100" t="s">
        <v>468</v>
      </c>
      <c r="L229" s="122" t="s">
        <v>469</v>
      </c>
      <c r="M229" s="101">
        <v>1</v>
      </c>
      <c r="N229" s="101" t="s">
        <v>467</v>
      </c>
      <c r="O229" s="123" t="s">
        <v>460</v>
      </c>
      <c r="P229" s="257">
        <f t="shared" ref="P229:P235" si="8">SUM(J229*M229)</f>
        <v>12400000</v>
      </c>
      <c r="Q229" s="125" t="s">
        <v>468</v>
      </c>
    </row>
    <row r="230" spans="1:17" ht="15.95" customHeight="1">
      <c r="A230" s="343"/>
      <c r="B230" s="104"/>
      <c r="C230" s="322"/>
      <c r="D230" s="271"/>
      <c r="E230" s="272"/>
      <c r="F230" s="141"/>
      <c r="G230" s="273"/>
      <c r="H230" s="274"/>
      <c r="I230" s="196" t="s">
        <v>263</v>
      </c>
      <c r="J230" s="290">
        <v>5800000</v>
      </c>
      <c r="K230" s="100" t="s">
        <v>468</v>
      </c>
      <c r="L230" s="122" t="s">
        <v>469</v>
      </c>
      <c r="M230" s="101">
        <v>1</v>
      </c>
      <c r="N230" s="101" t="s">
        <v>467</v>
      </c>
      <c r="O230" s="123" t="s">
        <v>460</v>
      </c>
      <c r="P230" s="257">
        <f t="shared" si="8"/>
        <v>5800000</v>
      </c>
      <c r="Q230" s="125" t="s">
        <v>468</v>
      </c>
    </row>
    <row r="231" spans="1:17" ht="15.95" customHeight="1">
      <c r="A231" s="343"/>
      <c r="B231" s="104"/>
      <c r="C231" s="322"/>
      <c r="D231" s="271"/>
      <c r="E231" s="272"/>
      <c r="F231" s="141"/>
      <c r="G231" s="273"/>
      <c r="H231" s="274"/>
      <c r="I231" s="196" t="s">
        <v>369</v>
      </c>
      <c r="J231" s="290">
        <v>600000</v>
      </c>
      <c r="K231" s="100" t="s">
        <v>468</v>
      </c>
      <c r="L231" s="122" t="s">
        <v>469</v>
      </c>
      <c r="M231" s="101">
        <v>1</v>
      </c>
      <c r="N231" s="101" t="s">
        <v>467</v>
      </c>
      <c r="O231" s="123" t="s">
        <v>460</v>
      </c>
      <c r="P231" s="257">
        <f t="shared" si="8"/>
        <v>600000</v>
      </c>
      <c r="Q231" s="125" t="s">
        <v>468</v>
      </c>
    </row>
    <row r="232" spans="1:17" ht="15.95" customHeight="1">
      <c r="A232" s="343"/>
      <c r="B232" s="104"/>
      <c r="C232" s="322"/>
      <c r="D232" s="271"/>
      <c r="E232" s="272"/>
      <c r="F232" s="119"/>
      <c r="G232" s="273"/>
      <c r="H232" s="274"/>
      <c r="I232" s="386" t="s">
        <v>193</v>
      </c>
      <c r="J232" s="290">
        <v>50000</v>
      </c>
      <c r="K232" s="100" t="s">
        <v>468</v>
      </c>
      <c r="L232" s="122" t="s">
        <v>469</v>
      </c>
      <c r="M232" s="101">
        <v>1</v>
      </c>
      <c r="N232" s="101" t="s">
        <v>467</v>
      </c>
      <c r="O232" s="123" t="s">
        <v>460</v>
      </c>
      <c r="P232" s="257">
        <f t="shared" si="8"/>
        <v>50000</v>
      </c>
      <c r="Q232" s="125" t="s">
        <v>468</v>
      </c>
    </row>
    <row r="233" spans="1:17" ht="15.95" customHeight="1">
      <c r="A233" s="343"/>
      <c r="B233" s="104"/>
      <c r="C233" s="322"/>
      <c r="D233" s="271"/>
      <c r="E233" s="272"/>
      <c r="F233" s="119"/>
      <c r="G233" s="273"/>
      <c r="H233" s="274"/>
      <c r="I233" s="386" t="s">
        <v>457</v>
      </c>
      <c r="J233" s="290">
        <v>200000</v>
      </c>
      <c r="K233" s="100" t="s">
        <v>468</v>
      </c>
      <c r="L233" s="122" t="s">
        <v>469</v>
      </c>
      <c r="M233" s="101">
        <v>1</v>
      </c>
      <c r="N233" s="101" t="s">
        <v>467</v>
      </c>
      <c r="O233" s="123" t="s">
        <v>460</v>
      </c>
      <c r="P233" s="257">
        <f t="shared" si="8"/>
        <v>200000</v>
      </c>
      <c r="Q233" s="125" t="s">
        <v>468</v>
      </c>
    </row>
    <row r="234" spans="1:17" ht="15.95" customHeight="1">
      <c r="A234" s="343"/>
      <c r="B234" s="104"/>
      <c r="C234" s="322"/>
      <c r="D234" s="271"/>
      <c r="E234" s="272"/>
      <c r="F234" s="119"/>
      <c r="G234" s="273"/>
      <c r="H234" s="274"/>
      <c r="I234" s="386" t="s">
        <v>454</v>
      </c>
      <c r="J234" s="290">
        <v>100000</v>
      </c>
      <c r="K234" s="100" t="s">
        <v>468</v>
      </c>
      <c r="L234" s="122" t="s">
        <v>469</v>
      </c>
      <c r="M234" s="101">
        <v>12</v>
      </c>
      <c r="N234" s="101" t="s">
        <v>467</v>
      </c>
      <c r="O234" s="123" t="s">
        <v>460</v>
      </c>
      <c r="P234" s="257">
        <f t="shared" si="8"/>
        <v>1200000</v>
      </c>
      <c r="Q234" s="125" t="s">
        <v>468</v>
      </c>
    </row>
    <row r="235" spans="1:17" ht="15.95" customHeight="1">
      <c r="A235" s="343"/>
      <c r="B235" s="104"/>
      <c r="C235" s="324"/>
      <c r="D235" s="276"/>
      <c r="E235" s="277"/>
      <c r="F235" s="127"/>
      <c r="G235" s="278"/>
      <c r="H235" s="279"/>
      <c r="I235" s="283" t="s">
        <v>446</v>
      </c>
      <c r="J235" s="284">
        <v>100000</v>
      </c>
      <c r="K235" s="160" t="s">
        <v>468</v>
      </c>
      <c r="L235" s="161" t="s">
        <v>469</v>
      </c>
      <c r="M235" s="163">
        <v>1</v>
      </c>
      <c r="N235" s="163" t="s">
        <v>467</v>
      </c>
      <c r="O235" s="167" t="s">
        <v>460</v>
      </c>
      <c r="P235" s="264">
        <f t="shared" si="8"/>
        <v>100000</v>
      </c>
      <c r="Q235" s="164" t="s">
        <v>468</v>
      </c>
    </row>
    <row r="236" spans="1:17" ht="20.100000000000001" customHeight="1">
      <c r="A236" s="387"/>
      <c r="B236" s="178" t="s">
        <v>9</v>
      </c>
      <c r="C236" s="235" t="s">
        <v>459</v>
      </c>
      <c r="D236" s="236">
        <f>SUM(D237:D245)</f>
        <v>36310</v>
      </c>
      <c r="E236" s="388">
        <f>SUM(E237:E245)</f>
        <v>36310</v>
      </c>
      <c r="F236" s="12">
        <f>SUM(F237:F245)</f>
        <v>18973</v>
      </c>
      <c r="G236" s="238">
        <f>+E236-D236</f>
        <v>0</v>
      </c>
      <c r="H236" s="239">
        <f>+G236/D236*100</f>
        <v>0</v>
      </c>
      <c r="I236" s="240"/>
      <c r="J236" s="241"/>
      <c r="K236" s="242"/>
      <c r="L236" s="328"/>
      <c r="M236" s="243"/>
      <c r="N236" s="243"/>
      <c r="O236" s="329"/>
      <c r="P236" s="389">
        <f>SUM(P237,P243)</f>
        <v>36310000</v>
      </c>
      <c r="Q236" s="102" t="s">
        <v>468</v>
      </c>
    </row>
    <row r="237" spans="1:17" ht="15.95" customHeight="1">
      <c r="A237" s="90"/>
      <c r="B237" s="104"/>
      <c r="C237" s="353" t="s">
        <v>188</v>
      </c>
      <c r="D237" s="266">
        <v>20310</v>
      </c>
      <c r="E237" s="267">
        <f>+P237/1000</f>
        <v>20310</v>
      </c>
      <c r="F237" s="136">
        <v>18973</v>
      </c>
      <c r="G237" s="268">
        <f>+E237-D237</f>
        <v>0</v>
      </c>
      <c r="H237" s="269">
        <f>+G237/D237*100</f>
        <v>0</v>
      </c>
      <c r="I237" s="171"/>
      <c r="J237" s="251"/>
      <c r="K237" s="112"/>
      <c r="L237" s="214"/>
      <c r="M237" s="138" t="s">
        <v>473</v>
      </c>
      <c r="N237" s="138"/>
      <c r="O237" s="138"/>
      <c r="P237" s="251">
        <f>SUM(P238:P242)</f>
        <v>20310000</v>
      </c>
      <c r="Q237" s="114" t="s">
        <v>468</v>
      </c>
    </row>
    <row r="238" spans="1:17" ht="15.95" customHeight="1">
      <c r="A238" s="90"/>
      <c r="B238" s="104"/>
      <c r="C238" s="355"/>
      <c r="D238" s="271"/>
      <c r="E238" s="272"/>
      <c r="F238" s="141"/>
      <c r="G238" s="273"/>
      <c r="H238" s="274"/>
      <c r="I238" s="173" t="s">
        <v>168</v>
      </c>
      <c r="J238" s="257">
        <v>3575000</v>
      </c>
      <c r="K238" s="100" t="s">
        <v>468</v>
      </c>
      <c r="L238" s="122" t="s">
        <v>469</v>
      </c>
      <c r="M238" s="101">
        <v>2</v>
      </c>
      <c r="N238" s="101" t="s">
        <v>467</v>
      </c>
      <c r="O238" s="101" t="s">
        <v>460</v>
      </c>
      <c r="P238" s="257">
        <f>J238*M238</f>
        <v>7150000</v>
      </c>
      <c r="Q238" s="125" t="s">
        <v>468</v>
      </c>
    </row>
    <row r="239" spans="1:17" ht="15.95" customHeight="1">
      <c r="A239" s="90"/>
      <c r="B239" s="104"/>
      <c r="C239" s="355"/>
      <c r="D239" s="271"/>
      <c r="E239" s="272"/>
      <c r="F239" s="119"/>
      <c r="G239" s="273"/>
      <c r="H239" s="274"/>
      <c r="I239" s="173" t="s">
        <v>253</v>
      </c>
      <c r="J239" s="257">
        <v>560000</v>
      </c>
      <c r="K239" s="100" t="s">
        <v>468</v>
      </c>
      <c r="L239" s="122" t="s">
        <v>469</v>
      </c>
      <c r="M239" s="101">
        <v>1</v>
      </c>
      <c r="N239" s="101" t="s">
        <v>467</v>
      </c>
      <c r="O239" s="101" t="s">
        <v>460</v>
      </c>
      <c r="P239" s="257">
        <f>SUM(J239*M239)</f>
        <v>560000</v>
      </c>
      <c r="Q239" s="125" t="s">
        <v>468</v>
      </c>
    </row>
    <row r="240" spans="1:17" ht="15.95" customHeight="1">
      <c r="A240" s="90"/>
      <c r="B240" s="104"/>
      <c r="C240" s="355"/>
      <c r="D240" s="271"/>
      <c r="E240" s="272"/>
      <c r="F240" s="119"/>
      <c r="G240" s="273"/>
      <c r="H240" s="274"/>
      <c r="I240" s="173" t="s">
        <v>143</v>
      </c>
      <c r="J240" s="257">
        <v>10000000</v>
      </c>
      <c r="K240" s="100" t="s">
        <v>468</v>
      </c>
      <c r="L240" s="122" t="s">
        <v>469</v>
      </c>
      <c r="M240" s="101">
        <v>1</v>
      </c>
      <c r="N240" s="101" t="s">
        <v>467</v>
      </c>
      <c r="O240" s="101" t="s">
        <v>460</v>
      </c>
      <c r="P240" s="257">
        <f>SUM(J240*M240)</f>
        <v>10000000</v>
      </c>
      <c r="Q240" s="125" t="s">
        <v>468</v>
      </c>
    </row>
    <row r="241" spans="1:17" ht="15.95" customHeight="1">
      <c r="A241" s="90"/>
      <c r="B241" s="104"/>
      <c r="C241" s="355"/>
      <c r="D241" s="271"/>
      <c r="E241" s="272"/>
      <c r="F241" s="119"/>
      <c r="G241" s="273"/>
      <c r="H241" s="274"/>
      <c r="I241" s="173" t="s">
        <v>190</v>
      </c>
      <c r="J241" s="257">
        <v>300000</v>
      </c>
      <c r="K241" s="100" t="s">
        <v>468</v>
      </c>
      <c r="L241" s="122" t="s">
        <v>469</v>
      </c>
      <c r="M241" s="101">
        <v>2</v>
      </c>
      <c r="N241" s="101" t="s">
        <v>467</v>
      </c>
      <c r="O241" s="101" t="s">
        <v>460</v>
      </c>
      <c r="P241" s="257">
        <f>SUM(J241*M241)</f>
        <v>600000</v>
      </c>
      <c r="Q241" s="125" t="s">
        <v>468</v>
      </c>
    </row>
    <row r="242" spans="1:17" ht="15.95" customHeight="1">
      <c r="A242" s="90"/>
      <c r="B242" s="104"/>
      <c r="C242" s="382"/>
      <c r="D242" s="276"/>
      <c r="E242" s="277"/>
      <c r="F242" s="119"/>
      <c r="G242" s="278"/>
      <c r="H242" s="279"/>
      <c r="I242" s="390" t="s">
        <v>246</v>
      </c>
      <c r="J242" s="257">
        <v>200000</v>
      </c>
      <c r="K242" s="198" t="s">
        <v>468</v>
      </c>
      <c r="L242" s="199" t="s">
        <v>469</v>
      </c>
      <c r="M242" s="200">
        <v>10</v>
      </c>
      <c r="N242" s="200" t="s">
        <v>467</v>
      </c>
      <c r="O242" s="201" t="s">
        <v>460</v>
      </c>
      <c r="P242" s="290">
        <f>SUM(J242*M242)</f>
        <v>2000000</v>
      </c>
      <c r="Q242" s="202" t="s">
        <v>468</v>
      </c>
    </row>
    <row r="243" spans="1:17" ht="15.95" customHeight="1">
      <c r="A243" s="90"/>
      <c r="B243" s="104"/>
      <c r="C243" s="391" t="s">
        <v>202</v>
      </c>
      <c r="D243" s="25">
        <v>16000</v>
      </c>
      <c r="E243" s="392">
        <f>+P243/1000</f>
        <v>16000</v>
      </c>
      <c r="F243" s="393">
        <v>0</v>
      </c>
      <c r="G243" s="24">
        <f>+E243-D243</f>
        <v>0</v>
      </c>
      <c r="H243" s="28">
        <f>G243/D243*100</f>
        <v>0</v>
      </c>
      <c r="I243" s="171"/>
      <c r="J243" s="394"/>
      <c r="K243" s="395"/>
      <c r="L243" s="396"/>
      <c r="M243" s="291" t="s">
        <v>473</v>
      </c>
      <c r="N243" s="291"/>
      <c r="O243" s="291"/>
      <c r="P243" s="394">
        <f>SUM(P244:P245)</f>
        <v>16000000</v>
      </c>
      <c r="Q243" s="397" t="s">
        <v>468</v>
      </c>
    </row>
    <row r="244" spans="1:17" ht="15.95" customHeight="1">
      <c r="A244" s="90"/>
      <c r="B244" s="104"/>
      <c r="C244" s="391"/>
      <c r="D244" s="25"/>
      <c r="E244" s="392"/>
      <c r="F244" s="393"/>
      <c r="G244" s="24"/>
      <c r="H244" s="28"/>
      <c r="I244" s="196" t="s">
        <v>452</v>
      </c>
      <c r="J244" s="290">
        <v>13000000</v>
      </c>
      <c r="K244" s="198" t="s">
        <v>468</v>
      </c>
      <c r="L244" s="199" t="s">
        <v>469</v>
      </c>
      <c r="M244" s="200">
        <v>1</v>
      </c>
      <c r="N244" s="200" t="s">
        <v>467</v>
      </c>
      <c r="O244" s="201" t="s">
        <v>460</v>
      </c>
      <c r="P244" s="290">
        <f>SUM(J244*M244)</f>
        <v>13000000</v>
      </c>
      <c r="Q244" s="202" t="s">
        <v>468</v>
      </c>
    </row>
    <row r="245" spans="1:17" ht="15.95" customHeight="1">
      <c r="A245" s="90"/>
      <c r="B245" s="104"/>
      <c r="C245" s="391"/>
      <c r="D245" s="25"/>
      <c r="E245" s="392"/>
      <c r="F245" s="393"/>
      <c r="G245" s="24"/>
      <c r="H245" s="28"/>
      <c r="I245" s="283" t="s">
        <v>166</v>
      </c>
      <c r="J245" s="284">
        <v>1500000</v>
      </c>
      <c r="K245" s="285" t="s">
        <v>468</v>
      </c>
      <c r="L245" s="199" t="s">
        <v>469</v>
      </c>
      <c r="M245" s="200">
        <v>2</v>
      </c>
      <c r="N245" s="200" t="s">
        <v>467</v>
      </c>
      <c r="O245" s="201" t="s">
        <v>460</v>
      </c>
      <c r="P245" s="290">
        <f>SUM(J245*M245)</f>
        <v>3000000</v>
      </c>
      <c r="Q245" s="202" t="s">
        <v>468</v>
      </c>
    </row>
    <row r="246" spans="1:17" ht="20.100000000000001" customHeight="1">
      <c r="A246" s="90"/>
      <c r="B246" s="398" t="s">
        <v>10</v>
      </c>
      <c r="C246" s="399" t="s">
        <v>459</v>
      </c>
      <c r="D246" s="388">
        <f>SUM(D247:D255)</f>
        <v>80394</v>
      </c>
      <c r="E246" s="388">
        <f>SUM(E247:E255)</f>
        <v>69394</v>
      </c>
      <c r="F246" s="400" t="e">
        <f>SUM(#REF!)</f>
        <v>#REF!</v>
      </c>
      <c r="G246" s="238">
        <f>E246-D246</f>
        <v>-11000</v>
      </c>
      <c r="H246" s="239">
        <f>+G246/D246*100</f>
        <v>-13.68261313033311</v>
      </c>
      <c r="I246" s="301"/>
      <c r="J246" s="241"/>
      <c r="K246" s="242"/>
      <c r="L246" s="328"/>
      <c r="M246" s="243"/>
      <c r="N246" s="243"/>
      <c r="O246" s="329"/>
      <c r="P246" s="389">
        <f>SUM(P247,P251)</f>
        <v>69394000</v>
      </c>
      <c r="Q246" s="401" t="s">
        <v>468</v>
      </c>
    </row>
    <row r="247" spans="1:17" ht="15.95" customHeight="1">
      <c r="A247" s="90"/>
      <c r="B247" s="402"/>
      <c r="C247" s="353" t="s">
        <v>63</v>
      </c>
      <c r="D247" s="134">
        <v>28594</v>
      </c>
      <c r="E247" s="135">
        <f>+P247/1000</f>
        <v>28594</v>
      </c>
      <c r="F247" s="136">
        <v>661</v>
      </c>
      <c r="G247" s="268">
        <f>E247-D247</f>
        <v>0</v>
      </c>
      <c r="H247" s="137">
        <f>G247/D247*100</f>
        <v>0</v>
      </c>
      <c r="I247" s="144"/>
      <c r="J247" s="251"/>
      <c r="K247" s="112"/>
      <c r="L247" s="214"/>
      <c r="M247" s="138" t="s">
        <v>473</v>
      </c>
      <c r="N247" s="138"/>
      <c r="O247" s="138"/>
      <c r="P247" s="251">
        <f>SUM(P248:P250)</f>
        <v>28594000</v>
      </c>
      <c r="Q247" s="114" t="s">
        <v>468</v>
      </c>
    </row>
    <row r="248" spans="1:17" ht="15.95" customHeight="1">
      <c r="A248" s="90"/>
      <c r="B248" s="402"/>
      <c r="C248" s="355"/>
      <c r="D248" s="139"/>
      <c r="E248" s="140"/>
      <c r="F248" s="141"/>
      <c r="G248" s="273"/>
      <c r="H248" s="142"/>
      <c r="I248" s="143" t="s">
        <v>438</v>
      </c>
      <c r="J248" s="257">
        <v>12694000</v>
      </c>
      <c r="K248" s="100" t="s">
        <v>468</v>
      </c>
      <c r="L248" s="122" t="s">
        <v>469</v>
      </c>
      <c r="M248" s="101">
        <v>1</v>
      </c>
      <c r="N248" s="101" t="s">
        <v>467</v>
      </c>
      <c r="O248" s="101" t="s">
        <v>460</v>
      </c>
      <c r="P248" s="257">
        <f>+J248*M248</f>
        <v>12694000</v>
      </c>
      <c r="Q248" s="125" t="s">
        <v>468</v>
      </c>
    </row>
    <row r="249" spans="1:17" ht="15.95" customHeight="1">
      <c r="A249" s="90"/>
      <c r="B249" s="402"/>
      <c r="C249" s="355"/>
      <c r="D249" s="139"/>
      <c r="E249" s="140"/>
      <c r="F249" s="141"/>
      <c r="G249" s="273"/>
      <c r="H249" s="142"/>
      <c r="I249" s="143" t="s">
        <v>427</v>
      </c>
      <c r="J249" s="257">
        <v>15900000</v>
      </c>
      <c r="K249" s="100" t="s">
        <v>472</v>
      </c>
      <c r="L249" s="122" t="s">
        <v>469</v>
      </c>
      <c r="M249" s="101">
        <v>1</v>
      </c>
      <c r="N249" s="101" t="s">
        <v>467</v>
      </c>
      <c r="O249" s="101" t="s">
        <v>460</v>
      </c>
      <c r="P249" s="257">
        <f>+J249*M249</f>
        <v>15900000</v>
      </c>
      <c r="Q249" s="125" t="s">
        <v>468</v>
      </c>
    </row>
    <row r="250" spans="1:17" ht="15.95" customHeight="1">
      <c r="A250" s="90"/>
      <c r="B250" s="402"/>
      <c r="C250" s="355"/>
      <c r="D250" s="139"/>
      <c r="E250" s="140"/>
      <c r="F250" s="141"/>
      <c r="G250" s="273"/>
      <c r="H250" s="142"/>
      <c r="I250" s="143" t="s">
        <v>424</v>
      </c>
      <c r="J250" s="257"/>
      <c r="K250" s="100" t="s">
        <v>468</v>
      </c>
      <c r="L250" s="122" t="s">
        <v>469</v>
      </c>
      <c r="M250" s="101"/>
      <c r="N250" s="101" t="s">
        <v>467</v>
      </c>
      <c r="O250" s="101" t="s">
        <v>460</v>
      </c>
      <c r="P250" s="257">
        <f>+J250*M250</f>
        <v>0</v>
      </c>
      <c r="Q250" s="125" t="s">
        <v>468</v>
      </c>
    </row>
    <row r="251" spans="1:17" ht="15.95" customHeight="1">
      <c r="A251" s="362"/>
      <c r="B251" s="363"/>
      <c r="C251" s="353" t="s">
        <v>318</v>
      </c>
      <c r="D251" s="134">
        <v>51800</v>
      </c>
      <c r="E251" s="135">
        <f>+P251/1000</f>
        <v>40800</v>
      </c>
      <c r="F251" s="136">
        <v>661</v>
      </c>
      <c r="G251" s="24">
        <f>E251-D251</f>
        <v>-11000</v>
      </c>
      <c r="H251" s="137">
        <f>G251/D251*100</f>
        <v>-21.235521235521233</v>
      </c>
      <c r="I251" s="403"/>
      <c r="J251" s="394"/>
      <c r="K251" s="395"/>
      <c r="L251" s="396"/>
      <c r="M251" s="291" t="s">
        <v>473</v>
      </c>
      <c r="N251" s="291"/>
      <c r="O251" s="291"/>
      <c r="P251" s="394">
        <f>SUM(P252:P255)</f>
        <v>40800000</v>
      </c>
      <c r="Q251" s="397" t="s">
        <v>468</v>
      </c>
    </row>
    <row r="252" spans="1:17" ht="15.95" customHeight="1">
      <c r="A252" s="90"/>
      <c r="B252" s="402"/>
      <c r="C252" s="355"/>
      <c r="D252" s="139"/>
      <c r="E252" s="140"/>
      <c r="F252" s="141"/>
      <c r="G252" s="24"/>
      <c r="H252" s="142"/>
      <c r="I252" s="191" t="s">
        <v>281</v>
      </c>
      <c r="J252" s="290">
        <v>700000</v>
      </c>
      <c r="K252" s="100" t="s">
        <v>468</v>
      </c>
      <c r="L252" s="122" t="s">
        <v>469</v>
      </c>
      <c r="M252" s="101">
        <v>12</v>
      </c>
      <c r="N252" s="101" t="s">
        <v>472</v>
      </c>
      <c r="O252" s="123" t="s">
        <v>460</v>
      </c>
      <c r="P252" s="290">
        <f>+J252*M252</f>
        <v>8400000</v>
      </c>
      <c r="Q252" s="125" t="s">
        <v>468</v>
      </c>
    </row>
    <row r="253" spans="1:17" ht="15.95" customHeight="1">
      <c r="A253" s="90"/>
      <c r="B253" s="402"/>
      <c r="C253" s="355"/>
      <c r="D253" s="139"/>
      <c r="E253" s="140"/>
      <c r="F253" s="141"/>
      <c r="G253" s="24"/>
      <c r="H253" s="142"/>
      <c r="I253" s="191" t="s">
        <v>200</v>
      </c>
      <c r="J253" s="290">
        <v>68000</v>
      </c>
      <c r="K253" s="100" t="s">
        <v>468</v>
      </c>
      <c r="L253" s="122" t="s">
        <v>469</v>
      </c>
      <c r="M253" s="101">
        <v>250</v>
      </c>
      <c r="N253" s="101" t="s">
        <v>467</v>
      </c>
      <c r="O253" s="123" t="s">
        <v>460</v>
      </c>
      <c r="P253" s="290">
        <f>+J253*M253</f>
        <v>17000000</v>
      </c>
      <c r="Q253" s="125" t="s">
        <v>468</v>
      </c>
    </row>
    <row r="254" spans="1:17" ht="15.95" customHeight="1">
      <c r="A254" s="90"/>
      <c r="B254" s="402"/>
      <c r="C254" s="355"/>
      <c r="D254" s="139"/>
      <c r="E254" s="140"/>
      <c r="F254" s="141"/>
      <c r="G254" s="24"/>
      <c r="H254" s="142"/>
      <c r="I254" s="404" t="s">
        <v>331</v>
      </c>
      <c r="J254" s="290">
        <v>5000000</v>
      </c>
      <c r="K254" s="198" t="s">
        <v>468</v>
      </c>
      <c r="L254" s="199" t="s">
        <v>469</v>
      </c>
      <c r="M254" s="200">
        <v>3</v>
      </c>
      <c r="N254" s="200" t="s">
        <v>467</v>
      </c>
      <c r="O254" s="201" t="s">
        <v>460</v>
      </c>
      <c r="P254" s="290">
        <f>+J254*M254</f>
        <v>15000000</v>
      </c>
      <c r="Q254" s="202" t="s">
        <v>468</v>
      </c>
    </row>
    <row r="255" spans="1:17" ht="15.95" customHeight="1">
      <c r="A255" s="90"/>
      <c r="B255" s="405"/>
      <c r="C255" s="382"/>
      <c r="D255" s="145"/>
      <c r="E255" s="146"/>
      <c r="F255" s="147"/>
      <c r="G255" s="24"/>
      <c r="H255" s="148" t="e">
        <f>+E255/D255*100</f>
        <v>#DIV/0!</v>
      </c>
      <c r="I255" s="175" t="s">
        <v>225</v>
      </c>
      <c r="J255" s="284">
        <v>400000</v>
      </c>
      <c r="K255" s="160" t="s">
        <v>468</v>
      </c>
      <c r="L255" s="161" t="s">
        <v>469</v>
      </c>
      <c r="M255" s="163">
        <v>1</v>
      </c>
      <c r="N255" s="163" t="s">
        <v>467</v>
      </c>
      <c r="O255" s="167" t="s">
        <v>460</v>
      </c>
      <c r="P255" s="284">
        <f>+J255*M255</f>
        <v>400000</v>
      </c>
      <c r="Q255" s="164" t="s">
        <v>468</v>
      </c>
    </row>
    <row r="256" spans="1:17" ht="20.100000000000001" customHeight="1">
      <c r="A256" s="281" t="s">
        <v>490</v>
      </c>
      <c r="B256" s="178" t="s">
        <v>38</v>
      </c>
      <c r="C256" s="406" t="s">
        <v>459</v>
      </c>
      <c r="D256" s="407">
        <f>SUM(D257:D266)</f>
        <v>26688</v>
      </c>
      <c r="E256" s="408">
        <f>SUM(E257:E266)</f>
        <v>26688</v>
      </c>
      <c r="F256" s="119">
        <f>SUM(F257:F266)</f>
        <v>16571</v>
      </c>
      <c r="G256" s="409">
        <f>+E256-D256</f>
        <v>0</v>
      </c>
      <c r="H256" s="410">
        <f>+G256/D256*100</f>
        <v>0</v>
      </c>
      <c r="I256" s="386"/>
      <c r="J256" s="290"/>
      <c r="K256" s="198"/>
      <c r="L256" s="411"/>
      <c r="M256" s="412"/>
      <c r="N256" s="412"/>
      <c r="O256" s="413"/>
      <c r="P256" s="414">
        <f>SUM(P257,P263)</f>
        <v>26688000</v>
      </c>
      <c r="Q256" s="415" t="s">
        <v>468</v>
      </c>
    </row>
    <row r="257" spans="1:17" ht="15.95" customHeight="1">
      <c r="A257" s="90"/>
      <c r="B257" s="416"/>
      <c r="C257" s="321" t="s">
        <v>26</v>
      </c>
      <c r="D257" s="134">
        <v>19288</v>
      </c>
      <c r="E257" s="135">
        <f>+P257/1000</f>
        <v>19288</v>
      </c>
      <c r="F257" s="136">
        <v>9358</v>
      </c>
      <c r="G257" s="107">
        <f>+E257-D257</f>
        <v>0</v>
      </c>
      <c r="H257" s="137">
        <f>+G257/D257*100</f>
        <v>0</v>
      </c>
      <c r="I257" s="417"/>
      <c r="J257" s="394"/>
      <c r="K257" s="395"/>
      <c r="L257" s="395"/>
      <c r="M257" s="291" t="s">
        <v>473</v>
      </c>
      <c r="N257" s="291"/>
      <c r="O257" s="291"/>
      <c r="P257" s="418">
        <f>SUM(P258:P262)</f>
        <v>19288000</v>
      </c>
      <c r="Q257" s="397" t="s">
        <v>468</v>
      </c>
    </row>
    <row r="258" spans="1:17" ht="15.95" customHeight="1">
      <c r="A258" s="90"/>
      <c r="B258" s="104"/>
      <c r="C258" s="322"/>
      <c r="D258" s="139"/>
      <c r="E258" s="140"/>
      <c r="F258" s="141"/>
      <c r="G258" s="118"/>
      <c r="H258" s="142"/>
      <c r="I258" s="386" t="s">
        <v>191</v>
      </c>
      <c r="J258" s="290">
        <v>24000</v>
      </c>
      <c r="K258" s="198" t="s">
        <v>468</v>
      </c>
      <c r="L258" s="199" t="s">
        <v>469</v>
      </c>
      <c r="M258" s="200">
        <v>12</v>
      </c>
      <c r="N258" s="200" t="s">
        <v>472</v>
      </c>
      <c r="O258" s="201" t="s">
        <v>460</v>
      </c>
      <c r="P258" s="290">
        <f>SUM(J258*M258)</f>
        <v>288000</v>
      </c>
      <c r="Q258" s="202" t="s">
        <v>468</v>
      </c>
    </row>
    <row r="259" spans="1:17" ht="15.95" customHeight="1">
      <c r="A259" s="90"/>
      <c r="B259" s="104"/>
      <c r="C259" s="322"/>
      <c r="D259" s="139"/>
      <c r="E259" s="140"/>
      <c r="F259" s="141"/>
      <c r="G259" s="118"/>
      <c r="H259" s="142"/>
      <c r="I259" s="386" t="s">
        <v>136</v>
      </c>
      <c r="J259" s="290">
        <v>350000</v>
      </c>
      <c r="K259" s="198" t="s">
        <v>468</v>
      </c>
      <c r="L259" s="199" t="s">
        <v>469</v>
      </c>
      <c r="M259" s="200">
        <v>12</v>
      </c>
      <c r="N259" s="200" t="s">
        <v>472</v>
      </c>
      <c r="O259" s="201" t="s">
        <v>460</v>
      </c>
      <c r="P259" s="290">
        <f>SUM(J259*M259)</f>
        <v>4200000</v>
      </c>
      <c r="Q259" s="202" t="s">
        <v>468</v>
      </c>
    </row>
    <row r="260" spans="1:17" ht="15.95" customHeight="1">
      <c r="A260" s="90"/>
      <c r="B260" s="104"/>
      <c r="C260" s="322"/>
      <c r="D260" s="139"/>
      <c r="E260" s="140"/>
      <c r="F260" s="141"/>
      <c r="G260" s="118"/>
      <c r="H260" s="142"/>
      <c r="I260" s="386" t="s">
        <v>335</v>
      </c>
      <c r="J260" s="290">
        <v>1000000</v>
      </c>
      <c r="K260" s="198" t="s">
        <v>468</v>
      </c>
      <c r="L260" s="199" t="s">
        <v>469</v>
      </c>
      <c r="M260" s="200">
        <v>12</v>
      </c>
      <c r="N260" s="200" t="s">
        <v>472</v>
      </c>
      <c r="O260" s="201" t="s">
        <v>460</v>
      </c>
      <c r="P260" s="290">
        <f>SUM(J260*M260)</f>
        <v>12000000</v>
      </c>
      <c r="Q260" s="202" t="s">
        <v>468</v>
      </c>
    </row>
    <row r="261" spans="1:17" ht="15.95" customHeight="1">
      <c r="A261" s="90"/>
      <c r="B261" s="104"/>
      <c r="C261" s="322"/>
      <c r="D261" s="139"/>
      <c r="E261" s="140"/>
      <c r="F261" s="141"/>
      <c r="G261" s="118"/>
      <c r="H261" s="142"/>
      <c r="I261" s="386" t="s">
        <v>284</v>
      </c>
      <c r="J261" s="290">
        <v>200000</v>
      </c>
      <c r="K261" s="198" t="s">
        <v>468</v>
      </c>
      <c r="L261" s="199" t="s">
        <v>469</v>
      </c>
      <c r="M261" s="200">
        <v>12</v>
      </c>
      <c r="N261" s="200" t="s">
        <v>467</v>
      </c>
      <c r="O261" s="201" t="s">
        <v>460</v>
      </c>
      <c r="P261" s="290">
        <f>SUM(J261*M261)</f>
        <v>2400000</v>
      </c>
      <c r="Q261" s="202" t="s">
        <v>468</v>
      </c>
    </row>
    <row r="262" spans="1:17" ht="15.95" customHeight="1">
      <c r="A262" s="90"/>
      <c r="B262" s="104"/>
      <c r="C262" s="324"/>
      <c r="D262" s="145"/>
      <c r="E262" s="146"/>
      <c r="F262" s="119"/>
      <c r="G262" s="130"/>
      <c r="H262" s="148"/>
      <c r="I262" s="386" t="s">
        <v>171</v>
      </c>
      <c r="J262" s="290">
        <v>200000</v>
      </c>
      <c r="K262" s="198" t="s">
        <v>468</v>
      </c>
      <c r="L262" s="199" t="s">
        <v>469</v>
      </c>
      <c r="M262" s="200">
        <v>2</v>
      </c>
      <c r="N262" s="200" t="s">
        <v>467</v>
      </c>
      <c r="O262" s="201" t="s">
        <v>460</v>
      </c>
      <c r="P262" s="290">
        <f>SUM(J262*M262)</f>
        <v>400000</v>
      </c>
      <c r="Q262" s="202" t="s">
        <v>468</v>
      </c>
    </row>
    <row r="263" spans="1:17" ht="15.95" customHeight="1">
      <c r="A263" s="90"/>
      <c r="B263" s="104"/>
      <c r="C263" s="321" t="s">
        <v>37</v>
      </c>
      <c r="D263" s="134">
        <v>7400</v>
      </c>
      <c r="E263" s="135">
        <f>+P263/1000</f>
        <v>7400</v>
      </c>
      <c r="F263" s="136">
        <v>7213</v>
      </c>
      <c r="G263" s="107">
        <f>+E263-D263</f>
        <v>0</v>
      </c>
      <c r="H263" s="137">
        <f>+G263/D263*100</f>
        <v>0</v>
      </c>
      <c r="I263" s="417"/>
      <c r="J263" s="394"/>
      <c r="K263" s="395"/>
      <c r="L263" s="396"/>
      <c r="M263" s="291" t="s">
        <v>473</v>
      </c>
      <c r="N263" s="291"/>
      <c r="O263" s="291"/>
      <c r="P263" s="418">
        <f>SUM(P264:P266)</f>
        <v>7400000</v>
      </c>
      <c r="Q263" s="397" t="s">
        <v>468</v>
      </c>
    </row>
    <row r="264" spans="1:17" ht="15.95" customHeight="1">
      <c r="A264" s="90"/>
      <c r="B264" s="104"/>
      <c r="C264" s="322"/>
      <c r="D264" s="419"/>
      <c r="E264" s="420"/>
      <c r="F264" s="141"/>
      <c r="G264" s="421"/>
      <c r="H264" s="422"/>
      <c r="I264" s="423" t="s">
        <v>169</v>
      </c>
      <c r="J264" s="290">
        <v>400000</v>
      </c>
      <c r="K264" s="198" t="s">
        <v>468</v>
      </c>
      <c r="L264" s="199" t="s">
        <v>469</v>
      </c>
      <c r="M264" s="200">
        <v>12</v>
      </c>
      <c r="N264" s="200" t="s">
        <v>467</v>
      </c>
      <c r="O264" s="201"/>
      <c r="P264" s="290">
        <f>SUM(J264*M264)</f>
        <v>4800000</v>
      </c>
      <c r="Q264" s="202" t="s">
        <v>468</v>
      </c>
    </row>
    <row r="265" spans="1:17" ht="15.95" customHeight="1">
      <c r="A265" s="90"/>
      <c r="B265" s="104"/>
      <c r="C265" s="322"/>
      <c r="D265" s="419"/>
      <c r="E265" s="420"/>
      <c r="F265" s="141"/>
      <c r="G265" s="421"/>
      <c r="H265" s="422"/>
      <c r="I265" s="386" t="s">
        <v>172</v>
      </c>
      <c r="J265" s="290">
        <v>1000000</v>
      </c>
      <c r="K265" s="198" t="s">
        <v>468</v>
      </c>
      <c r="L265" s="199" t="s">
        <v>469</v>
      </c>
      <c r="M265" s="200">
        <v>2</v>
      </c>
      <c r="N265" s="200" t="s">
        <v>467</v>
      </c>
      <c r="O265" s="201" t="s">
        <v>460</v>
      </c>
      <c r="P265" s="290">
        <f>SUM(J265*M265)</f>
        <v>2000000</v>
      </c>
      <c r="Q265" s="202" t="s">
        <v>468</v>
      </c>
    </row>
    <row r="266" spans="1:17" ht="15.95" customHeight="1">
      <c r="A266" s="90"/>
      <c r="B266" s="104"/>
      <c r="C266" s="322"/>
      <c r="D266" s="419"/>
      <c r="E266" s="420"/>
      <c r="F266" s="141"/>
      <c r="G266" s="421"/>
      <c r="H266" s="422"/>
      <c r="I266" s="423" t="s">
        <v>199</v>
      </c>
      <c r="J266" s="290">
        <v>50000</v>
      </c>
      <c r="K266" s="198" t="s">
        <v>468</v>
      </c>
      <c r="L266" s="199" t="s">
        <v>469</v>
      </c>
      <c r="M266" s="200">
        <v>12</v>
      </c>
      <c r="N266" s="200" t="s">
        <v>467</v>
      </c>
      <c r="O266" s="201" t="s">
        <v>460</v>
      </c>
      <c r="P266" s="290">
        <f>SUM(J266*M266)</f>
        <v>600000</v>
      </c>
      <c r="Q266" s="202" t="s">
        <v>468</v>
      </c>
    </row>
    <row r="267" spans="1:17" ht="18" customHeight="1">
      <c r="A267" s="133"/>
      <c r="B267" s="178" t="s">
        <v>226</v>
      </c>
      <c r="C267" s="424" t="s">
        <v>459</v>
      </c>
      <c r="D267" s="236">
        <f>SUM(D268:D269)</f>
        <v>77500</v>
      </c>
      <c r="E267" s="388">
        <f>SUM(E268:E269)</f>
        <v>68839.645999999993</v>
      </c>
      <c r="F267" s="12">
        <f>SUM(F268:F269)</f>
        <v>2500</v>
      </c>
      <c r="G267" s="238">
        <f>+E267-D267</f>
        <v>-8660.3540000000066</v>
      </c>
      <c r="H267" s="239">
        <f>+G267/D267*100</f>
        <v>-11.174650322580653</v>
      </c>
      <c r="I267" s="301"/>
      <c r="J267" s="241"/>
      <c r="K267" s="242"/>
      <c r="L267" s="328"/>
      <c r="M267" s="243"/>
      <c r="N267" s="243"/>
      <c r="O267" s="329"/>
      <c r="P267" s="241">
        <f>P268</f>
        <v>68839646</v>
      </c>
      <c r="Q267" s="102" t="s">
        <v>468</v>
      </c>
    </row>
    <row r="268" spans="1:17" ht="18" customHeight="1">
      <c r="A268" s="133"/>
      <c r="B268" s="425" t="s">
        <v>490</v>
      </c>
      <c r="C268" s="353" t="s">
        <v>342</v>
      </c>
      <c r="D268" s="134">
        <v>77500</v>
      </c>
      <c r="E268" s="135">
        <f>+P268/1000</f>
        <v>68839.645999999993</v>
      </c>
      <c r="F268" s="136">
        <v>2500</v>
      </c>
      <c r="G268" s="107">
        <f>+E268-D268</f>
        <v>-8660.3540000000066</v>
      </c>
      <c r="H268" s="109">
        <f>+G268/D268*100</f>
        <v>-11.174650322580653</v>
      </c>
      <c r="I268" s="426"/>
      <c r="J268" s="427"/>
      <c r="K268" s="112"/>
      <c r="L268" s="113"/>
      <c r="M268" s="138" t="s">
        <v>473</v>
      </c>
      <c r="N268" s="138"/>
      <c r="O268" s="138"/>
      <c r="P268" s="111">
        <f>SUM(P269:P271)</f>
        <v>68839646</v>
      </c>
      <c r="Q268" s="114" t="s">
        <v>468</v>
      </c>
    </row>
    <row r="269" spans="1:17" ht="18" customHeight="1">
      <c r="A269" s="133"/>
      <c r="B269" s="384"/>
      <c r="C269" s="355"/>
      <c r="D269" s="139"/>
      <c r="E269" s="140"/>
      <c r="F269" s="147"/>
      <c r="G269" s="118"/>
      <c r="H269" s="120"/>
      <c r="I269" s="143" t="s">
        <v>28</v>
      </c>
      <c r="J269" s="99">
        <v>10000000</v>
      </c>
      <c r="K269" s="100" t="s">
        <v>468</v>
      </c>
      <c r="L269" s="122" t="s">
        <v>469</v>
      </c>
      <c r="M269" s="101">
        <v>1</v>
      </c>
      <c r="N269" s="101" t="s">
        <v>467</v>
      </c>
      <c r="O269" s="123" t="s">
        <v>460</v>
      </c>
      <c r="P269" s="99">
        <f>SUM(J269*M269)</f>
        <v>10000000</v>
      </c>
      <c r="Q269" s="125" t="s">
        <v>468</v>
      </c>
    </row>
    <row r="270" spans="1:17" ht="18" customHeight="1">
      <c r="A270" s="133"/>
      <c r="B270" s="384"/>
      <c r="C270" s="355"/>
      <c r="D270" s="139"/>
      <c r="E270" s="140"/>
      <c r="F270" s="119"/>
      <c r="G270" s="118"/>
      <c r="H270" s="120"/>
      <c r="I270" s="217" t="s">
        <v>296</v>
      </c>
      <c r="J270" s="99">
        <v>5709911.5</v>
      </c>
      <c r="K270" s="100" t="s">
        <v>468</v>
      </c>
      <c r="L270" s="122" t="s">
        <v>469</v>
      </c>
      <c r="M270" s="101">
        <v>4</v>
      </c>
      <c r="N270" s="101" t="s">
        <v>472</v>
      </c>
      <c r="O270" s="123" t="s">
        <v>460</v>
      </c>
      <c r="P270" s="99">
        <f>SUM(J270*M270)</f>
        <v>22839646</v>
      </c>
      <c r="Q270" s="125" t="s">
        <v>468</v>
      </c>
    </row>
    <row r="271" spans="1:17" ht="18" customHeight="1">
      <c r="A271" s="203"/>
      <c r="B271" s="428"/>
      <c r="C271" s="382"/>
      <c r="D271" s="145"/>
      <c r="E271" s="146"/>
      <c r="F271" s="119"/>
      <c r="G271" s="130"/>
      <c r="H271" s="131"/>
      <c r="I271" s="215" t="s">
        <v>330</v>
      </c>
      <c r="J271" s="99">
        <v>18000000</v>
      </c>
      <c r="K271" s="100" t="s">
        <v>468</v>
      </c>
      <c r="L271" s="122" t="s">
        <v>469</v>
      </c>
      <c r="M271" s="101">
        <v>2</v>
      </c>
      <c r="N271" s="101" t="s">
        <v>467</v>
      </c>
      <c r="O271" s="123" t="s">
        <v>460</v>
      </c>
      <c r="P271" s="99">
        <f>SUM(J271*M271)</f>
        <v>36000000</v>
      </c>
      <c r="Q271" s="125" t="s">
        <v>468</v>
      </c>
    </row>
    <row r="272" spans="1:17" ht="20.100000000000001" customHeight="1">
      <c r="A272" s="429" t="s">
        <v>513</v>
      </c>
      <c r="B272" s="430" t="s">
        <v>484</v>
      </c>
      <c r="C272" s="431"/>
      <c r="D272" s="181">
        <f>+D273</f>
        <v>17644</v>
      </c>
      <c r="E272" s="181">
        <f>+E273</f>
        <v>17644.03</v>
      </c>
      <c r="F272" s="182"/>
      <c r="G272" s="183">
        <f>+E272-D272</f>
        <v>2.9999999998835847E-2</v>
      </c>
      <c r="H272" s="432">
        <f>+G272/D272*100</f>
        <v>1.7002947176850968E-4</v>
      </c>
      <c r="I272" s="171"/>
      <c r="J272" s="111"/>
      <c r="K272" s="112"/>
      <c r="L272" s="214"/>
      <c r="M272" s="113"/>
      <c r="N272" s="113"/>
      <c r="O272" s="377"/>
      <c r="P272" s="193">
        <f>P273</f>
        <v>17644030</v>
      </c>
      <c r="Q272" s="433" t="s">
        <v>468</v>
      </c>
    </row>
    <row r="273" spans="1:17" ht="15.95" customHeight="1">
      <c r="A273" s="133"/>
      <c r="B273" s="179" t="s">
        <v>513</v>
      </c>
      <c r="C273" s="321" t="s">
        <v>513</v>
      </c>
      <c r="D273" s="134">
        <v>17644</v>
      </c>
      <c r="E273" s="135">
        <f>+P273/1000</f>
        <v>17644.03</v>
      </c>
      <c r="F273" s="108"/>
      <c r="G273" s="107">
        <f>+E273-D273</f>
        <v>2.9999999998835847E-2</v>
      </c>
      <c r="H273" s="109">
        <f>+G273/D273*100</f>
        <v>1.7002947176850968E-4</v>
      </c>
      <c r="I273" s="144"/>
      <c r="J273" s="251"/>
      <c r="K273" s="112"/>
      <c r="L273" s="214"/>
      <c r="M273" s="138" t="s">
        <v>473</v>
      </c>
      <c r="N273" s="138"/>
      <c r="O273" s="138"/>
      <c r="P273" s="111">
        <f>SUM(P274:P276)</f>
        <v>17644030</v>
      </c>
      <c r="Q273" s="114" t="s">
        <v>468</v>
      </c>
    </row>
    <row r="274" spans="1:17" ht="15.95" customHeight="1">
      <c r="A274" s="133"/>
      <c r="B274" s="384"/>
      <c r="C274" s="322"/>
      <c r="D274" s="139"/>
      <c r="E274" s="140"/>
      <c r="F274" s="119"/>
      <c r="G274" s="118"/>
      <c r="H274" s="120"/>
      <c r="I274" s="143" t="s">
        <v>368</v>
      </c>
      <c r="J274" s="257">
        <v>5000000</v>
      </c>
      <c r="K274" s="100" t="s">
        <v>468</v>
      </c>
      <c r="L274" s="122" t="s">
        <v>469</v>
      </c>
      <c r="M274" s="101">
        <v>1</v>
      </c>
      <c r="N274" s="101" t="s">
        <v>467</v>
      </c>
      <c r="O274" s="123" t="s">
        <v>460</v>
      </c>
      <c r="P274" s="189">
        <f>+J274*M274</f>
        <v>5000000</v>
      </c>
      <c r="Q274" s="125" t="s">
        <v>468</v>
      </c>
    </row>
    <row r="275" spans="1:17" ht="15.95" customHeight="1">
      <c r="A275" s="133"/>
      <c r="B275" s="384"/>
      <c r="C275" s="322"/>
      <c r="D275" s="139"/>
      <c r="E275" s="140"/>
      <c r="F275" s="119"/>
      <c r="G275" s="118"/>
      <c r="H275" s="120"/>
      <c r="I275" s="173" t="s">
        <v>252</v>
      </c>
      <c r="J275" s="257">
        <v>72320</v>
      </c>
      <c r="K275" s="100" t="s">
        <v>468</v>
      </c>
      <c r="L275" s="122" t="s">
        <v>469</v>
      </c>
      <c r="M275" s="101">
        <v>1</v>
      </c>
      <c r="N275" s="101" t="s">
        <v>521</v>
      </c>
      <c r="O275" s="123" t="s">
        <v>460</v>
      </c>
      <c r="P275" s="189">
        <f>+J275*M275</f>
        <v>72320</v>
      </c>
      <c r="Q275" s="125" t="s">
        <v>468</v>
      </c>
    </row>
    <row r="276" spans="1:17" ht="15.95" customHeight="1">
      <c r="A276" s="133"/>
      <c r="B276" s="384"/>
      <c r="C276" s="324"/>
      <c r="D276" s="145"/>
      <c r="E276" s="146"/>
      <c r="F276" s="119"/>
      <c r="G276" s="130"/>
      <c r="H276" s="131"/>
      <c r="I276" s="173" t="s">
        <v>324</v>
      </c>
      <c r="J276" s="257">
        <v>6285855</v>
      </c>
      <c r="K276" s="100" t="s">
        <v>468</v>
      </c>
      <c r="L276" s="122" t="s">
        <v>469</v>
      </c>
      <c r="M276" s="101">
        <v>2</v>
      </c>
      <c r="N276" s="101" t="s">
        <v>521</v>
      </c>
      <c r="O276" s="123" t="s">
        <v>460</v>
      </c>
      <c r="P276" s="189">
        <f>+J276*M276</f>
        <v>12571710</v>
      </c>
      <c r="Q276" s="125" t="s">
        <v>468</v>
      </c>
    </row>
    <row r="277" spans="1:17" ht="20.100000000000001" customHeight="1">
      <c r="A277" s="434" t="s">
        <v>507</v>
      </c>
      <c r="B277" s="430" t="s">
        <v>484</v>
      </c>
      <c r="C277" s="431"/>
      <c r="D277" s="180">
        <f>SUM(D278:D281)</f>
        <v>13700</v>
      </c>
      <c r="E277" s="180">
        <f>SUM(E278:E281)</f>
        <v>13700</v>
      </c>
      <c r="F277" s="182">
        <f>SUM(F278:F281)</f>
        <v>31393</v>
      </c>
      <c r="G277" s="183">
        <f>+E277-D277</f>
        <v>0</v>
      </c>
      <c r="H277" s="432">
        <f>+G277/D277*100</f>
        <v>0</v>
      </c>
      <c r="I277" s="171"/>
      <c r="J277" s="111"/>
      <c r="K277" s="112"/>
      <c r="L277" s="214"/>
      <c r="M277" s="113"/>
      <c r="N277" s="113"/>
      <c r="O277" s="377"/>
      <c r="P277" s="193">
        <f>SUM(P278,P280)</f>
        <v>13700000</v>
      </c>
      <c r="Q277" s="433" t="s">
        <v>468</v>
      </c>
    </row>
    <row r="278" spans="1:17" ht="16.5" customHeight="1">
      <c r="A278" s="90"/>
      <c r="B278" s="435" t="s">
        <v>19</v>
      </c>
      <c r="C278" s="436" t="s">
        <v>157</v>
      </c>
      <c r="D278" s="134">
        <v>13000</v>
      </c>
      <c r="E278" s="134">
        <f>+P278/1000</f>
        <v>13000</v>
      </c>
      <c r="F278" s="108">
        <v>0</v>
      </c>
      <c r="G278" s="107">
        <f>+E278-D278</f>
        <v>0</v>
      </c>
      <c r="H278" s="137">
        <f>+G278/D278*100</f>
        <v>0</v>
      </c>
      <c r="I278" s="171"/>
      <c r="J278" s="111"/>
      <c r="K278" s="112"/>
      <c r="L278" s="113"/>
      <c r="M278" s="138" t="s">
        <v>473</v>
      </c>
      <c r="N278" s="138"/>
      <c r="O278" s="138"/>
      <c r="P278" s="111">
        <f>SUM(P279:P279)</f>
        <v>13000000</v>
      </c>
      <c r="Q278" s="114" t="s">
        <v>468</v>
      </c>
    </row>
    <row r="279" spans="1:17" ht="16.5" customHeight="1">
      <c r="A279" s="90"/>
      <c r="B279" s="437"/>
      <c r="C279" s="438"/>
      <c r="D279" s="145"/>
      <c r="E279" s="145"/>
      <c r="F279" s="119"/>
      <c r="G279" s="130"/>
      <c r="H279" s="148"/>
      <c r="I279" s="173" t="s">
        <v>274</v>
      </c>
      <c r="J279" s="257">
        <v>13000000</v>
      </c>
      <c r="K279" s="100" t="s">
        <v>468</v>
      </c>
      <c r="L279" s="122" t="s">
        <v>469</v>
      </c>
      <c r="M279" s="101">
        <v>1</v>
      </c>
      <c r="N279" s="101" t="s">
        <v>467</v>
      </c>
      <c r="O279" s="123" t="s">
        <v>460</v>
      </c>
      <c r="P279" s="189">
        <f>+J279*M279</f>
        <v>13000000</v>
      </c>
      <c r="Q279" s="125" t="s">
        <v>468</v>
      </c>
    </row>
    <row r="280" spans="1:17" ht="16.5" customHeight="1">
      <c r="A280" s="90"/>
      <c r="B280" s="437"/>
      <c r="C280" s="353" t="s">
        <v>163</v>
      </c>
      <c r="D280" s="134">
        <v>700</v>
      </c>
      <c r="E280" s="135">
        <f>+P280/1000</f>
        <v>700</v>
      </c>
      <c r="F280" s="136">
        <v>31393</v>
      </c>
      <c r="G280" s="107">
        <f>+E280-D280</f>
        <v>0</v>
      </c>
      <c r="H280" s="137">
        <f>+G280/D280*100</f>
        <v>0</v>
      </c>
      <c r="I280" s="171" t="s">
        <v>505</v>
      </c>
      <c r="J280" s="111" t="s">
        <v>505</v>
      </c>
      <c r="K280" s="112" t="s">
        <v>505</v>
      </c>
      <c r="L280" s="214"/>
      <c r="M280" s="138" t="s">
        <v>473</v>
      </c>
      <c r="N280" s="138"/>
      <c r="O280" s="138"/>
      <c r="P280" s="111">
        <f>SUM(P281:P281)</f>
        <v>700000</v>
      </c>
      <c r="Q280" s="114" t="s">
        <v>468</v>
      </c>
    </row>
    <row r="281" spans="1:17" ht="16.5" customHeight="1" thickBot="1">
      <c r="A281" s="90"/>
      <c r="B281" s="437"/>
      <c r="C281" s="355"/>
      <c r="D281" s="139"/>
      <c r="E281" s="140"/>
      <c r="F281" s="141"/>
      <c r="G281" s="118"/>
      <c r="H281" s="142"/>
      <c r="I281" s="173" t="s">
        <v>269</v>
      </c>
      <c r="J281" s="257">
        <v>70000</v>
      </c>
      <c r="K281" s="100" t="s">
        <v>468</v>
      </c>
      <c r="L281" s="122" t="s">
        <v>469</v>
      </c>
      <c r="M281" s="101">
        <v>10</v>
      </c>
      <c r="N281" s="101" t="s">
        <v>467</v>
      </c>
      <c r="O281" s="123" t="s">
        <v>460</v>
      </c>
      <c r="P281" s="189">
        <f>+J281*M281</f>
        <v>700000</v>
      </c>
      <c r="Q281" s="125" t="s">
        <v>468</v>
      </c>
    </row>
    <row r="282" spans="1:17" ht="21.75" customHeight="1">
      <c r="A282" s="222" t="s">
        <v>475</v>
      </c>
      <c r="B282" s="223" t="s">
        <v>484</v>
      </c>
      <c r="C282" s="224"/>
      <c r="D282" s="439">
        <f>SUM(D283:D382)</f>
        <v>1739454.7419510002</v>
      </c>
      <c r="E282" s="439">
        <f t="shared" ref="E282:E302" si="9">P282/1000</f>
        <v>1966217.10993</v>
      </c>
      <c r="F282" s="226" t="e">
        <f>SUM(F283:F291,F295:F381)</f>
        <v>#VALUE!</v>
      </c>
      <c r="G282" s="227">
        <f>+E282-D282</f>
        <v>226762.36797899986</v>
      </c>
      <c r="H282" s="228">
        <f t="shared" ref="H282:H294" si="10">+G282/D282*100</f>
        <v>13.036405173994902</v>
      </c>
      <c r="I282" s="440"/>
      <c r="J282" s="230"/>
      <c r="K282" s="231"/>
      <c r="L282" s="232"/>
      <c r="M282" s="232"/>
      <c r="N282" s="232"/>
      <c r="O282" s="232"/>
      <c r="P282" s="230">
        <f>SUM(P283:P382)</f>
        <v>1966217109.9300001</v>
      </c>
      <c r="Q282" s="233" t="s">
        <v>468</v>
      </c>
    </row>
    <row r="283" spans="1:17" ht="17.45" customHeight="1">
      <c r="A283" s="90"/>
      <c r="B283" s="91" t="s">
        <v>475</v>
      </c>
      <c r="C283" s="441" t="s">
        <v>95</v>
      </c>
      <c r="D283" s="442">
        <v>45500</v>
      </c>
      <c r="E283" s="236">
        <f t="shared" si="9"/>
        <v>45500</v>
      </c>
      <c r="F283" s="443"/>
      <c r="G283" s="238">
        <f t="shared" ref="G283:G291" si="11">E283-D283</f>
        <v>0</v>
      </c>
      <c r="H283" s="239">
        <f t="shared" si="10"/>
        <v>0</v>
      </c>
      <c r="I283" s="143" t="s">
        <v>236</v>
      </c>
      <c r="J283" s="111">
        <v>9100000</v>
      </c>
      <c r="K283" s="112" t="s">
        <v>468</v>
      </c>
      <c r="L283" s="214" t="s">
        <v>469</v>
      </c>
      <c r="M283" s="113">
        <v>5</v>
      </c>
      <c r="N283" s="113" t="s">
        <v>467</v>
      </c>
      <c r="O283" s="377" t="s">
        <v>460</v>
      </c>
      <c r="P283" s="111">
        <f t="shared" ref="P283:P301" si="12">SUM(J283*M283)</f>
        <v>45500000</v>
      </c>
      <c r="Q283" s="114" t="s">
        <v>468</v>
      </c>
    </row>
    <row r="284" spans="1:17" ht="17.45" customHeight="1">
      <c r="A284" s="90"/>
      <c r="B284" s="91"/>
      <c r="C284" s="444" t="s">
        <v>404</v>
      </c>
      <c r="D284" s="442">
        <v>42000</v>
      </c>
      <c r="E284" s="236">
        <f t="shared" si="9"/>
        <v>42000</v>
      </c>
      <c r="F284" s="443"/>
      <c r="G284" s="238">
        <f t="shared" si="11"/>
        <v>0</v>
      </c>
      <c r="H284" s="239">
        <f t="shared" si="10"/>
        <v>0</v>
      </c>
      <c r="I284" s="143" t="s">
        <v>236</v>
      </c>
      <c r="J284" s="99">
        <v>8400000</v>
      </c>
      <c r="K284" s="100" t="s">
        <v>468</v>
      </c>
      <c r="L284" s="122" t="s">
        <v>469</v>
      </c>
      <c r="M284" s="101">
        <v>5</v>
      </c>
      <c r="N284" s="101" t="s">
        <v>467</v>
      </c>
      <c r="O284" s="123" t="s">
        <v>460</v>
      </c>
      <c r="P284" s="99">
        <f t="shared" si="12"/>
        <v>42000000</v>
      </c>
      <c r="Q284" s="125" t="s">
        <v>468</v>
      </c>
    </row>
    <row r="285" spans="1:17" ht="17.45" customHeight="1">
      <c r="A285" s="90"/>
      <c r="B285" s="91"/>
      <c r="C285" s="441" t="s">
        <v>116</v>
      </c>
      <c r="D285" s="236">
        <v>50000</v>
      </c>
      <c r="E285" s="236">
        <f t="shared" si="9"/>
        <v>52000</v>
      </c>
      <c r="F285" s="443"/>
      <c r="G285" s="238">
        <f t="shared" si="11"/>
        <v>2000</v>
      </c>
      <c r="H285" s="239">
        <f t="shared" si="10"/>
        <v>4</v>
      </c>
      <c r="I285" s="143" t="s">
        <v>14</v>
      </c>
      <c r="J285" s="99">
        <v>10400000</v>
      </c>
      <c r="K285" s="100" t="s">
        <v>468</v>
      </c>
      <c r="L285" s="122" t="s">
        <v>469</v>
      </c>
      <c r="M285" s="101">
        <v>5</v>
      </c>
      <c r="N285" s="101" t="s">
        <v>467</v>
      </c>
      <c r="O285" s="123" t="s">
        <v>460</v>
      </c>
      <c r="P285" s="99">
        <f t="shared" si="12"/>
        <v>52000000</v>
      </c>
      <c r="Q285" s="125" t="s">
        <v>468</v>
      </c>
    </row>
    <row r="286" spans="1:17" ht="17.45" customHeight="1">
      <c r="A286" s="90"/>
      <c r="B286" s="104"/>
      <c r="C286" s="445" t="s">
        <v>127</v>
      </c>
      <c r="D286" s="442">
        <v>61750</v>
      </c>
      <c r="E286" s="236">
        <f t="shared" si="9"/>
        <v>61750</v>
      </c>
      <c r="F286" s="443"/>
      <c r="G286" s="238">
        <f t="shared" si="11"/>
        <v>0</v>
      </c>
      <c r="H286" s="239">
        <f t="shared" si="10"/>
        <v>0</v>
      </c>
      <c r="I286" s="143" t="s">
        <v>236</v>
      </c>
      <c r="J286" s="99">
        <v>12350000</v>
      </c>
      <c r="K286" s="100" t="s">
        <v>468</v>
      </c>
      <c r="L286" s="122" t="s">
        <v>469</v>
      </c>
      <c r="M286" s="101">
        <v>5</v>
      </c>
      <c r="N286" s="101" t="s">
        <v>467</v>
      </c>
      <c r="O286" s="123" t="s">
        <v>460</v>
      </c>
      <c r="P286" s="99">
        <f t="shared" si="12"/>
        <v>61750000</v>
      </c>
      <c r="Q286" s="125" t="s">
        <v>468</v>
      </c>
    </row>
    <row r="287" spans="1:17" ht="17.45" customHeight="1">
      <c r="A287" s="90"/>
      <c r="B287" s="104"/>
      <c r="C287" s="445" t="s">
        <v>94</v>
      </c>
      <c r="D287" s="236">
        <v>58000</v>
      </c>
      <c r="E287" s="236">
        <f t="shared" si="9"/>
        <v>58000</v>
      </c>
      <c r="F287" s="443"/>
      <c r="G287" s="238">
        <f t="shared" si="11"/>
        <v>0</v>
      </c>
      <c r="H287" s="239">
        <f t="shared" si="10"/>
        <v>0</v>
      </c>
      <c r="I287" s="158" t="s">
        <v>14</v>
      </c>
      <c r="J287" s="159">
        <v>14500000</v>
      </c>
      <c r="K287" s="160" t="s">
        <v>468</v>
      </c>
      <c r="L287" s="161" t="s">
        <v>469</v>
      </c>
      <c r="M287" s="163">
        <v>4</v>
      </c>
      <c r="N287" s="163" t="s">
        <v>467</v>
      </c>
      <c r="O287" s="167" t="s">
        <v>460</v>
      </c>
      <c r="P287" s="159">
        <f t="shared" si="12"/>
        <v>58000000</v>
      </c>
      <c r="Q287" s="164" t="s">
        <v>468</v>
      </c>
    </row>
    <row r="288" spans="1:17" ht="17.45" customHeight="1">
      <c r="A288" s="76" t="s">
        <v>475</v>
      </c>
      <c r="B288" s="91" t="s">
        <v>475</v>
      </c>
      <c r="C288" s="446" t="s">
        <v>122</v>
      </c>
      <c r="D288" s="447">
        <v>36500</v>
      </c>
      <c r="E288" s="448">
        <f t="shared" si="9"/>
        <v>36500</v>
      </c>
      <c r="F288" s="449"/>
      <c r="G288" s="299">
        <f t="shared" si="11"/>
        <v>0</v>
      </c>
      <c r="H288" s="300">
        <f t="shared" si="10"/>
        <v>0</v>
      </c>
      <c r="I288" s="143" t="s">
        <v>236</v>
      </c>
      <c r="J288" s="99">
        <v>7300000</v>
      </c>
      <c r="K288" s="100" t="s">
        <v>468</v>
      </c>
      <c r="L288" s="122" t="s">
        <v>469</v>
      </c>
      <c r="M288" s="101">
        <v>5</v>
      </c>
      <c r="N288" s="101" t="s">
        <v>467</v>
      </c>
      <c r="O288" s="123" t="s">
        <v>460</v>
      </c>
      <c r="P288" s="99">
        <f t="shared" si="12"/>
        <v>36500000</v>
      </c>
      <c r="Q288" s="125" t="s">
        <v>468</v>
      </c>
    </row>
    <row r="289" spans="1:17" ht="17.45" customHeight="1">
      <c r="A289" s="281"/>
      <c r="B289" s="91"/>
      <c r="C289" s="441" t="s">
        <v>120</v>
      </c>
      <c r="D289" s="442">
        <v>53000</v>
      </c>
      <c r="E289" s="236">
        <f t="shared" si="9"/>
        <v>48000</v>
      </c>
      <c r="F289" s="443"/>
      <c r="G289" s="238">
        <f t="shared" si="11"/>
        <v>-5000</v>
      </c>
      <c r="H289" s="239">
        <f t="shared" si="10"/>
        <v>-9.433962264150944</v>
      </c>
      <c r="I289" s="143" t="s">
        <v>236</v>
      </c>
      <c r="J289" s="99">
        <v>9600000</v>
      </c>
      <c r="K289" s="100" t="s">
        <v>468</v>
      </c>
      <c r="L289" s="122" t="s">
        <v>469</v>
      </c>
      <c r="M289" s="101">
        <v>5</v>
      </c>
      <c r="N289" s="101" t="s">
        <v>467</v>
      </c>
      <c r="O289" s="123" t="s">
        <v>460</v>
      </c>
      <c r="P289" s="99">
        <f t="shared" si="12"/>
        <v>48000000</v>
      </c>
      <c r="Q289" s="125" t="s">
        <v>468</v>
      </c>
    </row>
    <row r="290" spans="1:17" ht="17.45" customHeight="1">
      <c r="A290" s="90"/>
      <c r="B290" s="104"/>
      <c r="C290" s="446" t="s">
        <v>84</v>
      </c>
      <c r="D290" s="447">
        <v>31500</v>
      </c>
      <c r="E290" s="448">
        <f t="shared" si="9"/>
        <v>31500</v>
      </c>
      <c r="F290" s="449"/>
      <c r="G290" s="299">
        <f t="shared" si="11"/>
        <v>0</v>
      </c>
      <c r="H290" s="300">
        <f t="shared" si="10"/>
        <v>0</v>
      </c>
      <c r="I290" s="143" t="s">
        <v>236</v>
      </c>
      <c r="J290" s="99">
        <v>6300000</v>
      </c>
      <c r="K290" s="100" t="s">
        <v>468</v>
      </c>
      <c r="L290" s="122" t="s">
        <v>469</v>
      </c>
      <c r="M290" s="101">
        <v>5</v>
      </c>
      <c r="N290" s="101" t="s">
        <v>467</v>
      </c>
      <c r="O290" s="123" t="s">
        <v>460</v>
      </c>
      <c r="P290" s="99">
        <f t="shared" si="12"/>
        <v>31500000</v>
      </c>
      <c r="Q290" s="125" t="s">
        <v>468</v>
      </c>
    </row>
    <row r="291" spans="1:17" ht="18" customHeight="1">
      <c r="A291" s="90"/>
      <c r="B291" s="104"/>
      <c r="C291" s="441" t="s">
        <v>551</v>
      </c>
      <c r="D291" s="442">
        <v>60000</v>
      </c>
      <c r="E291" s="236">
        <f t="shared" si="9"/>
        <v>60000</v>
      </c>
      <c r="F291" s="443"/>
      <c r="G291" s="238">
        <f t="shared" si="11"/>
        <v>0</v>
      </c>
      <c r="H291" s="239">
        <f t="shared" si="10"/>
        <v>0</v>
      </c>
      <c r="I291" s="143" t="s">
        <v>14</v>
      </c>
      <c r="J291" s="99">
        <f>60000000/4</f>
        <v>15000000</v>
      </c>
      <c r="K291" s="100" t="s">
        <v>468</v>
      </c>
      <c r="L291" s="122" t="s">
        <v>469</v>
      </c>
      <c r="M291" s="101">
        <v>4</v>
      </c>
      <c r="N291" s="101" t="s">
        <v>467</v>
      </c>
      <c r="O291" s="123" t="s">
        <v>460</v>
      </c>
      <c r="P291" s="99">
        <f t="shared" si="12"/>
        <v>60000000</v>
      </c>
      <c r="Q291" s="125" t="s">
        <v>468</v>
      </c>
    </row>
    <row r="292" spans="1:17" ht="17.45" customHeight="1">
      <c r="A292" s="90"/>
      <c r="B292" s="104"/>
      <c r="C292" s="441" t="s">
        <v>366</v>
      </c>
      <c r="D292" s="236">
        <v>296000</v>
      </c>
      <c r="E292" s="236">
        <f t="shared" si="9"/>
        <v>399328.2</v>
      </c>
      <c r="F292" s="443"/>
      <c r="G292" s="238">
        <f>+E292-D292</f>
        <v>103328.20000000001</v>
      </c>
      <c r="H292" s="239">
        <f t="shared" si="10"/>
        <v>34.908175675675679</v>
      </c>
      <c r="I292" s="143" t="s">
        <v>236</v>
      </c>
      <c r="J292" s="99">
        <v>66554700</v>
      </c>
      <c r="K292" s="100" t="s">
        <v>468</v>
      </c>
      <c r="L292" s="122" t="s">
        <v>469</v>
      </c>
      <c r="M292" s="101">
        <v>6</v>
      </c>
      <c r="N292" s="101" t="s">
        <v>467</v>
      </c>
      <c r="O292" s="123" t="s">
        <v>460</v>
      </c>
      <c r="P292" s="99">
        <f t="shared" si="12"/>
        <v>399328200</v>
      </c>
      <c r="Q292" s="125" t="s">
        <v>468</v>
      </c>
    </row>
    <row r="293" spans="1:17" ht="17.45" customHeight="1">
      <c r="A293" s="90"/>
      <c r="B293" s="104"/>
      <c r="C293" s="441" t="s">
        <v>77</v>
      </c>
      <c r="D293" s="442">
        <v>51500</v>
      </c>
      <c r="E293" s="236">
        <f t="shared" si="9"/>
        <v>51500</v>
      </c>
      <c r="F293" s="443"/>
      <c r="G293" s="238">
        <f>E293-D293</f>
        <v>0</v>
      </c>
      <c r="H293" s="239">
        <f t="shared" si="10"/>
        <v>0</v>
      </c>
      <c r="I293" s="143" t="s">
        <v>236</v>
      </c>
      <c r="J293" s="99">
        <v>10300000</v>
      </c>
      <c r="K293" s="100" t="s">
        <v>468</v>
      </c>
      <c r="L293" s="122" t="s">
        <v>469</v>
      </c>
      <c r="M293" s="101">
        <v>5</v>
      </c>
      <c r="N293" s="101" t="s">
        <v>467</v>
      </c>
      <c r="O293" s="123" t="s">
        <v>460</v>
      </c>
      <c r="P293" s="99">
        <f t="shared" si="12"/>
        <v>51500000</v>
      </c>
      <c r="Q293" s="125" t="s">
        <v>468</v>
      </c>
    </row>
    <row r="294" spans="1:17" ht="17.45" customHeight="1">
      <c r="A294" s="281"/>
      <c r="B294" s="91"/>
      <c r="C294" s="450" t="s">
        <v>388</v>
      </c>
      <c r="D294" s="448">
        <v>15000</v>
      </c>
      <c r="E294" s="448">
        <f t="shared" si="9"/>
        <v>15000</v>
      </c>
      <c r="F294" s="449"/>
      <c r="G294" s="299">
        <f>+E294-D294</f>
        <v>0</v>
      </c>
      <c r="H294" s="239">
        <f t="shared" si="10"/>
        <v>0</v>
      </c>
      <c r="I294" s="143" t="s">
        <v>14</v>
      </c>
      <c r="J294" s="99">
        <v>3750000</v>
      </c>
      <c r="K294" s="100" t="s">
        <v>468</v>
      </c>
      <c r="L294" s="122" t="s">
        <v>469</v>
      </c>
      <c r="M294" s="101">
        <v>4</v>
      </c>
      <c r="N294" s="101" t="s">
        <v>467</v>
      </c>
      <c r="O294" s="123" t="s">
        <v>460</v>
      </c>
      <c r="P294" s="99">
        <f t="shared" si="12"/>
        <v>15000000</v>
      </c>
      <c r="Q294" s="125" t="s">
        <v>468</v>
      </c>
    </row>
    <row r="295" spans="1:17" ht="17.45" customHeight="1">
      <c r="A295" s="90"/>
      <c r="B295" s="104"/>
      <c r="C295" s="444" t="s">
        <v>395</v>
      </c>
      <c r="D295" s="236">
        <v>28000</v>
      </c>
      <c r="E295" s="236">
        <f t="shared" si="9"/>
        <v>28000</v>
      </c>
      <c r="F295" s="443"/>
      <c r="G295" s="238">
        <f>E295-D295</f>
        <v>0</v>
      </c>
      <c r="H295" s="239">
        <f>+G295/D295*100</f>
        <v>0</v>
      </c>
      <c r="I295" s="143" t="s">
        <v>14</v>
      </c>
      <c r="J295" s="99">
        <v>7000000</v>
      </c>
      <c r="K295" s="100" t="s">
        <v>468</v>
      </c>
      <c r="L295" s="122" t="s">
        <v>469</v>
      </c>
      <c r="M295" s="101">
        <v>4</v>
      </c>
      <c r="N295" s="101" t="s">
        <v>467</v>
      </c>
      <c r="O295" s="123" t="s">
        <v>460</v>
      </c>
      <c r="P295" s="99">
        <f t="shared" si="12"/>
        <v>28000000</v>
      </c>
      <c r="Q295" s="125" t="s">
        <v>468</v>
      </c>
    </row>
    <row r="296" spans="1:17" ht="17.45" customHeight="1">
      <c r="A296" s="90"/>
      <c r="B296" s="104"/>
      <c r="C296" s="444" t="s">
        <v>430</v>
      </c>
      <c r="D296" s="236">
        <v>2000</v>
      </c>
      <c r="E296" s="236">
        <f t="shared" si="9"/>
        <v>2000</v>
      </c>
      <c r="F296" s="443"/>
      <c r="G296" s="238">
        <f>E296-D296</f>
        <v>0</v>
      </c>
      <c r="H296" s="239">
        <f>+G296/D296*100</f>
        <v>0</v>
      </c>
      <c r="I296" s="143" t="s">
        <v>14</v>
      </c>
      <c r="J296" s="99">
        <v>500000</v>
      </c>
      <c r="K296" s="100" t="s">
        <v>468</v>
      </c>
      <c r="L296" s="122" t="s">
        <v>469</v>
      </c>
      <c r="M296" s="101">
        <v>4</v>
      </c>
      <c r="N296" s="101" t="s">
        <v>467</v>
      </c>
      <c r="O296" s="123" t="s">
        <v>460</v>
      </c>
      <c r="P296" s="99">
        <f>SUM(J296*M296)</f>
        <v>2000000</v>
      </c>
      <c r="Q296" s="125" t="s">
        <v>468</v>
      </c>
    </row>
    <row r="297" spans="1:17" ht="17.45" customHeight="1">
      <c r="A297" s="281"/>
      <c r="B297" s="91"/>
      <c r="C297" s="445" t="s">
        <v>111</v>
      </c>
      <c r="D297" s="236">
        <v>21848.41</v>
      </c>
      <c r="E297" s="236">
        <f t="shared" si="9"/>
        <v>21848.41</v>
      </c>
      <c r="F297" s="443"/>
      <c r="G297" s="238">
        <f t="shared" ref="G297:G302" si="13">+E297-D297</f>
        <v>0</v>
      </c>
      <c r="H297" s="239">
        <f>+G297/D297*100</f>
        <v>0</v>
      </c>
      <c r="I297" s="143" t="s">
        <v>14</v>
      </c>
      <c r="J297" s="99">
        <v>4369682</v>
      </c>
      <c r="K297" s="100" t="s">
        <v>468</v>
      </c>
      <c r="L297" s="122" t="s">
        <v>469</v>
      </c>
      <c r="M297" s="101">
        <v>5</v>
      </c>
      <c r="N297" s="101" t="s">
        <v>467</v>
      </c>
      <c r="O297" s="123" t="s">
        <v>460</v>
      </c>
      <c r="P297" s="99">
        <f t="shared" si="12"/>
        <v>21848410</v>
      </c>
      <c r="Q297" s="125" t="s">
        <v>468</v>
      </c>
    </row>
    <row r="298" spans="1:17" ht="17.45" customHeight="1">
      <c r="A298" s="90"/>
      <c r="B298" s="104"/>
      <c r="C298" s="451" t="s">
        <v>176</v>
      </c>
      <c r="D298" s="373">
        <v>7000</v>
      </c>
      <c r="E298" s="236">
        <f t="shared" si="9"/>
        <v>7000</v>
      </c>
      <c r="F298" s="452"/>
      <c r="G298" s="238">
        <f t="shared" si="13"/>
        <v>0</v>
      </c>
      <c r="H298" s="239">
        <f>+G298/D298*100</f>
        <v>0</v>
      </c>
      <c r="I298" s="143" t="s">
        <v>236</v>
      </c>
      <c r="J298" s="99">
        <v>3500000</v>
      </c>
      <c r="K298" s="100" t="s">
        <v>468</v>
      </c>
      <c r="L298" s="122" t="s">
        <v>469</v>
      </c>
      <c r="M298" s="101">
        <v>2</v>
      </c>
      <c r="N298" s="101" t="s">
        <v>467</v>
      </c>
      <c r="O298" s="123" t="s">
        <v>460</v>
      </c>
      <c r="P298" s="99">
        <f t="shared" si="12"/>
        <v>7000000</v>
      </c>
      <c r="Q298" s="125" t="s">
        <v>468</v>
      </c>
    </row>
    <row r="299" spans="1:17" ht="17.45" customHeight="1">
      <c r="A299" s="90"/>
      <c r="B299" s="104"/>
      <c r="C299" s="451" t="s">
        <v>138</v>
      </c>
      <c r="D299" s="373">
        <v>2400</v>
      </c>
      <c r="E299" s="236">
        <f t="shared" si="9"/>
        <v>2400</v>
      </c>
      <c r="F299" s="452"/>
      <c r="G299" s="238">
        <f t="shared" si="13"/>
        <v>0</v>
      </c>
      <c r="H299" s="239">
        <f>+G299/D299*100</f>
        <v>0</v>
      </c>
      <c r="I299" s="143" t="s">
        <v>14</v>
      </c>
      <c r="J299" s="99">
        <v>2400000</v>
      </c>
      <c r="K299" s="100" t="s">
        <v>468</v>
      </c>
      <c r="L299" s="122" t="s">
        <v>469</v>
      </c>
      <c r="M299" s="101">
        <v>1</v>
      </c>
      <c r="N299" s="101" t="s">
        <v>467</v>
      </c>
      <c r="O299" s="123" t="s">
        <v>460</v>
      </c>
      <c r="P299" s="99">
        <f t="shared" si="12"/>
        <v>2400000</v>
      </c>
      <c r="Q299" s="125" t="s">
        <v>468</v>
      </c>
    </row>
    <row r="300" spans="1:17" ht="17.45" customHeight="1">
      <c r="A300" s="90"/>
      <c r="B300" s="104"/>
      <c r="C300" s="445" t="s">
        <v>125</v>
      </c>
      <c r="D300" s="236">
        <v>3300</v>
      </c>
      <c r="E300" s="236">
        <f t="shared" si="9"/>
        <v>3300</v>
      </c>
      <c r="F300" s="443"/>
      <c r="G300" s="238">
        <f t="shared" si="13"/>
        <v>0</v>
      </c>
      <c r="H300" s="239">
        <f>G300/D300*100</f>
        <v>0</v>
      </c>
      <c r="I300" s="143" t="s">
        <v>14</v>
      </c>
      <c r="J300" s="99">
        <v>3300000</v>
      </c>
      <c r="K300" s="100" t="s">
        <v>468</v>
      </c>
      <c r="L300" s="122" t="s">
        <v>469</v>
      </c>
      <c r="M300" s="101">
        <v>1</v>
      </c>
      <c r="N300" s="101" t="s">
        <v>467</v>
      </c>
      <c r="O300" s="123" t="s">
        <v>460</v>
      </c>
      <c r="P300" s="99">
        <f t="shared" si="12"/>
        <v>3300000</v>
      </c>
      <c r="Q300" s="125" t="s">
        <v>468</v>
      </c>
    </row>
    <row r="301" spans="1:17" ht="17.45" customHeight="1">
      <c r="A301" s="281"/>
      <c r="B301" s="91"/>
      <c r="C301" s="453" t="s">
        <v>181</v>
      </c>
      <c r="D301" s="407">
        <v>1200</v>
      </c>
      <c r="E301" s="448">
        <f t="shared" si="9"/>
        <v>2450</v>
      </c>
      <c r="F301" s="407" t="e">
        <f>Q301/1000</f>
        <v>#VALUE!</v>
      </c>
      <c r="G301" s="299">
        <f t="shared" si="13"/>
        <v>1250</v>
      </c>
      <c r="H301" s="300">
        <f>G301/D301*100</f>
        <v>104.16666666666667</v>
      </c>
      <c r="I301" s="143" t="s">
        <v>236</v>
      </c>
      <c r="J301" s="99">
        <v>1225000</v>
      </c>
      <c r="K301" s="100" t="s">
        <v>468</v>
      </c>
      <c r="L301" s="122" t="s">
        <v>469</v>
      </c>
      <c r="M301" s="101">
        <v>2</v>
      </c>
      <c r="N301" s="101" t="s">
        <v>467</v>
      </c>
      <c r="O301" s="123" t="s">
        <v>460</v>
      </c>
      <c r="P301" s="99">
        <f t="shared" si="12"/>
        <v>2450000</v>
      </c>
      <c r="Q301" s="125" t="s">
        <v>468</v>
      </c>
    </row>
    <row r="302" spans="1:17" ht="17.45" customHeight="1">
      <c r="A302" s="90"/>
      <c r="B302" s="104"/>
      <c r="C302" s="451" t="s">
        <v>144</v>
      </c>
      <c r="D302" s="373">
        <v>2700</v>
      </c>
      <c r="E302" s="236">
        <f t="shared" si="9"/>
        <v>6572</v>
      </c>
      <c r="F302" s="373"/>
      <c r="G302" s="238">
        <f t="shared" si="13"/>
        <v>3872</v>
      </c>
      <c r="H302" s="239">
        <f>G302/D302*100</f>
        <v>143.40740740740742</v>
      </c>
      <c r="I302" s="143" t="s">
        <v>236</v>
      </c>
      <c r="J302" s="99">
        <v>3286000</v>
      </c>
      <c r="K302" s="100" t="s">
        <v>468</v>
      </c>
      <c r="L302" s="122" t="s">
        <v>469</v>
      </c>
      <c r="M302" s="101">
        <v>2</v>
      </c>
      <c r="N302" s="101" t="s">
        <v>467</v>
      </c>
      <c r="O302" s="123" t="s">
        <v>460</v>
      </c>
      <c r="P302" s="99">
        <f>SUM(J302*M302)</f>
        <v>6572000</v>
      </c>
      <c r="Q302" s="125" t="s">
        <v>468</v>
      </c>
    </row>
    <row r="303" spans="1:17" ht="17.45" customHeight="1">
      <c r="A303" s="362"/>
      <c r="B303" s="363"/>
      <c r="C303" s="445" t="s">
        <v>399</v>
      </c>
      <c r="D303" s="373">
        <v>2400</v>
      </c>
      <c r="E303" s="236">
        <f t="shared" ref="E303:E310" si="14">P303/1000</f>
        <v>4154</v>
      </c>
      <c r="F303" s="443"/>
      <c r="G303" s="238">
        <f t="shared" ref="G303:G310" si="15">+E303-D303</f>
        <v>1754</v>
      </c>
      <c r="H303" s="239">
        <f>G303/D303*100</f>
        <v>73.083333333333329</v>
      </c>
      <c r="I303" s="143" t="s">
        <v>236</v>
      </c>
      <c r="J303" s="99">
        <v>2077000</v>
      </c>
      <c r="K303" s="100" t="s">
        <v>468</v>
      </c>
      <c r="L303" s="122" t="s">
        <v>469</v>
      </c>
      <c r="M303" s="101">
        <v>2</v>
      </c>
      <c r="N303" s="101" t="s">
        <v>467</v>
      </c>
      <c r="O303" s="123" t="s">
        <v>460</v>
      </c>
      <c r="P303" s="99">
        <f t="shared" ref="P303:P309" si="16">SUM(J303*M303)</f>
        <v>4154000</v>
      </c>
      <c r="Q303" s="125" t="s">
        <v>468</v>
      </c>
    </row>
    <row r="304" spans="1:17" ht="17.45" customHeight="1">
      <c r="A304" s="90"/>
      <c r="B304" s="104"/>
      <c r="C304" s="453" t="s">
        <v>151</v>
      </c>
      <c r="D304" s="373">
        <v>2100</v>
      </c>
      <c r="E304" s="448">
        <f t="shared" si="14"/>
        <v>2100</v>
      </c>
      <c r="F304" s="454"/>
      <c r="G304" s="299">
        <f t="shared" si="15"/>
        <v>0</v>
      </c>
      <c r="H304" s="300">
        <f>+G304/D304*100</f>
        <v>0</v>
      </c>
      <c r="I304" s="143" t="s">
        <v>14</v>
      </c>
      <c r="J304" s="99">
        <v>2100000</v>
      </c>
      <c r="K304" s="100" t="s">
        <v>468</v>
      </c>
      <c r="L304" s="122" t="s">
        <v>469</v>
      </c>
      <c r="M304" s="101">
        <v>1</v>
      </c>
      <c r="N304" s="101" t="s">
        <v>467</v>
      </c>
      <c r="O304" s="123" t="s">
        <v>460</v>
      </c>
      <c r="P304" s="99">
        <f t="shared" si="16"/>
        <v>2100000</v>
      </c>
      <c r="Q304" s="125" t="s">
        <v>468</v>
      </c>
    </row>
    <row r="305" spans="1:17" ht="17.45" customHeight="1">
      <c r="A305" s="90"/>
      <c r="B305" s="104"/>
      <c r="C305" s="455" t="s">
        <v>400</v>
      </c>
      <c r="D305" s="373">
        <v>3000</v>
      </c>
      <c r="E305" s="236">
        <f t="shared" si="14"/>
        <v>11428.5</v>
      </c>
      <c r="F305" s="452"/>
      <c r="G305" s="238">
        <f t="shared" si="15"/>
        <v>8428.5</v>
      </c>
      <c r="H305" s="300">
        <f>+G305/D305*100</f>
        <v>280.95</v>
      </c>
      <c r="I305" s="143" t="s">
        <v>236</v>
      </c>
      <c r="J305" s="99">
        <v>5714250</v>
      </c>
      <c r="K305" s="100" t="s">
        <v>468</v>
      </c>
      <c r="L305" s="122" t="s">
        <v>469</v>
      </c>
      <c r="M305" s="101">
        <v>2</v>
      </c>
      <c r="N305" s="101" t="s">
        <v>467</v>
      </c>
      <c r="O305" s="123" t="s">
        <v>460</v>
      </c>
      <c r="P305" s="99">
        <f t="shared" si="16"/>
        <v>11428500</v>
      </c>
      <c r="Q305" s="125" t="s">
        <v>468</v>
      </c>
    </row>
    <row r="306" spans="1:17" ht="17.45" customHeight="1">
      <c r="A306" s="90"/>
      <c r="B306" s="104"/>
      <c r="C306" s="451" t="s">
        <v>142</v>
      </c>
      <c r="D306" s="373">
        <v>2700</v>
      </c>
      <c r="E306" s="236">
        <f t="shared" si="14"/>
        <v>2700</v>
      </c>
      <c r="F306" s="443"/>
      <c r="G306" s="238">
        <f t="shared" si="15"/>
        <v>0</v>
      </c>
      <c r="H306" s="300">
        <f>+G306/D306*100</f>
        <v>0</v>
      </c>
      <c r="I306" s="143" t="s">
        <v>14</v>
      </c>
      <c r="J306" s="99">
        <v>2700000</v>
      </c>
      <c r="K306" s="100" t="s">
        <v>468</v>
      </c>
      <c r="L306" s="122" t="s">
        <v>469</v>
      </c>
      <c r="M306" s="101">
        <v>1</v>
      </c>
      <c r="N306" s="101" t="s">
        <v>467</v>
      </c>
      <c r="O306" s="123" t="s">
        <v>460</v>
      </c>
      <c r="P306" s="99">
        <f t="shared" si="16"/>
        <v>2700000</v>
      </c>
      <c r="Q306" s="125" t="s">
        <v>468</v>
      </c>
    </row>
    <row r="307" spans="1:17" ht="17.45" customHeight="1">
      <c r="A307" s="90"/>
      <c r="B307" s="104"/>
      <c r="C307" s="451" t="s">
        <v>182</v>
      </c>
      <c r="D307" s="373">
        <v>2400</v>
      </c>
      <c r="E307" s="236">
        <f t="shared" si="14"/>
        <v>2400</v>
      </c>
      <c r="F307" s="452"/>
      <c r="G307" s="238">
        <f t="shared" si="15"/>
        <v>0</v>
      </c>
      <c r="H307" s="300">
        <f>+G307/D307*100</f>
        <v>0</v>
      </c>
      <c r="I307" s="143" t="s">
        <v>14</v>
      </c>
      <c r="J307" s="99">
        <v>2400000</v>
      </c>
      <c r="K307" s="100" t="s">
        <v>468</v>
      </c>
      <c r="L307" s="122" t="s">
        <v>469</v>
      </c>
      <c r="M307" s="101">
        <v>1</v>
      </c>
      <c r="N307" s="101" t="s">
        <v>467</v>
      </c>
      <c r="O307" s="123" t="s">
        <v>460</v>
      </c>
      <c r="P307" s="99">
        <f t="shared" si="16"/>
        <v>2400000</v>
      </c>
      <c r="Q307" s="125" t="s">
        <v>468</v>
      </c>
    </row>
    <row r="308" spans="1:17" ht="17.45" customHeight="1">
      <c r="A308" s="90"/>
      <c r="B308" s="104"/>
      <c r="C308" s="451" t="s">
        <v>154</v>
      </c>
      <c r="D308" s="373">
        <v>2700</v>
      </c>
      <c r="E308" s="236">
        <f t="shared" si="14"/>
        <v>4700</v>
      </c>
      <c r="F308" s="452"/>
      <c r="G308" s="238">
        <f t="shared" si="15"/>
        <v>2000</v>
      </c>
      <c r="H308" s="239">
        <f>G308/D308*100</f>
        <v>74.074074074074076</v>
      </c>
      <c r="I308" s="143" t="s">
        <v>236</v>
      </c>
      <c r="J308" s="99">
        <v>2350000</v>
      </c>
      <c r="K308" s="100" t="s">
        <v>468</v>
      </c>
      <c r="L308" s="122" t="s">
        <v>469</v>
      </c>
      <c r="M308" s="101">
        <v>2</v>
      </c>
      <c r="N308" s="101" t="s">
        <v>467</v>
      </c>
      <c r="O308" s="123" t="s">
        <v>460</v>
      </c>
      <c r="P308" s="99">
        <f t="shared" si="16"/>
        <v>4700000</v>
      </c>
      <c r="Q308" s="125" t="s">
        <v>468</v>
      </c>
    </row>
    <row r="309" spans="1:17" ht="17.45" customHeight="1">
      <c r="A309" s="90"/>
      <c r="B309" s="104"/>
      <c r="C309" s="445" t="s">
        <v>126</v>
      </c>
      <c r="D309" s="373">
        <v>5448.41</v>
      </c>
      <c r="E309" s="236">
        <f t="shared" si="14"/>
        <v>5448.41</v>
      </c>
      <c r="F309" s="443"/>
      <c r="G309" s="238">
        <f t="shared" si="15"/>
        <v>0</v>
      </c>
      <c r="H309" s="239">
        <f>G309/D309*100</f>
        <v>0</v>
      </c>
      <c r="I309" s="143" t="s">
        <v>14</v>
      </c>
      <c r="J309" s="99">
        <v>2724205</v>
      </c>
      <c r="K309" s="100" t="s">
        <v>468</v>
      </c>
      <c r="L309" s="122" t="s">
        <v>469</v>
      </c>
      <c r="M309" s="101">
        <v>2</v>
      </c>
      <c r="N309" s="101" t="s">
        <v>467</v>
      </c>
      <c r="O309" s="123" t="s">
        <v>460</v>
      </c>
      <c r="P309" s="99">
        <f t="shared" si="16"/>
        <v>5448410</v>
      </c>
      <c r="Q309" s="125" t="s">
        <v>468</v>
      </c>
    </row>
    <row r="310" spans="1:17" ht="17.45" customHeight="1">
      <c r="A310" s="90"/>
      <c r="B310" s="104"/>
      <c r="C310" s="450" t="s">
        <v>402</v>
      </c>
      <c r="D310" s="373">
        <v>3600</v>
      </c>
      <c r="E310" s="236">
        <f t="shared" si="14"/>
        <v>3600</v>
      </c>
      <c r="F310" s="449"/>
      <c r="G310" s="238">
        <f t="shared" si="15"/>
        <v>0</v>
      </c>
      <c r="H310" s="239">
        <f>G310/D310*100</f>
        <v>0</v>
      </c>
      <c r="I310" s="143" t="s">
        <v>14</v>
      </c>
      <c r="J310" s="99">
        <v>3600000</v>
      </c>
      <c r="K310" s="100" t="s">
        <v>468</v>
      </c>
      <c r="L310" s="122" t="s">
        <v>469</v>
      </c>
      <c r="M310" s="101">
        <v>1</v>
      </c>
      <c r="N310" s="101" t="s">
        <v>467</v>
      </c>
      <c r="O310" s="123" t="s">
        <v>460</v>
      </c>
      <c r="P310" s="99">
        <f>SUM(J310*M310)</f>
        <v>3600000</v>
      </c>
      <c r="Q310" s="125" t="s">
        <v>468</v>
      </c>
    </row>
    <row r="311" spans="1:17" ht="17.45" customHeight="1">
      <c r="A311" s="90"/>
      <c r="B311" s="104"/>
      <c r="C311" s="444" t="s">
        <v>353</v>
      </c>
      <c r="D311" s="236">
        <v>5000</v>
      </c>
      <c r="E311" s="236">
        <f t="shared" ref="E311:E330" si="17">P311/1000</f>
        <v>5000</v>
      </c>
      <c r="F311" s="443"/>
      <c r="G311" s="238">
        <f t="shared" ref="G311:G333" si="18">+E311-D311</f>
        <v>0</v>
      </c>
      <c r="H311" s="239">
        <f t="shared" ref="H311:H330" si="19">+G311/D311*100</f>
        <v>0</v>
      </c>
      <c r="I311" s="143" t="s">
        <v>14</v>
      </c>
      <c r="J311" s="99">
        <v>5000000</v>
      </c>
      <c r="K311" s="100" t="s">
        <v>468</v>
      </c>
      <c r="L311" s="122" t="s">
        <v>469</v>
      </c>
      <c r="M311" s="101">
        <v>1</v>
      </c>
      <c r="N311" s="101" t="s">
        <v>467</v>
      </c>
      <c r="O311" s="123" t="s">
        <v>460</v>
      </c>
      <c r="P311" s="99">
        <f>SUM(J311*M311)</f>
        <v>5000000</v>
      </c>
      <c r="Q311" s="125" t="s">
        <v>468</v>
      </c>
    </row>
    <row r="312" spans="1:17" ht="17.45" customHeight="1">
      <c r="A312" s="90"/>
      <c r="B312" s="104"/>
      <c r="C312" s="441" t="s">
        <v>50</v>
      </c>
      <c r="D312" s="236">
        <v>5000</v>
      </c>
      <c r="E312" s="236">
        <f t="shared" si="17"/>
        <v>5000</v>
      </c>
      <c r="F312" s="443"/>
      <c r="G312" s="238">
        <f t="shared" si="18"/>
        <v>0</v>
      </c>
      <c r="H312" s="239">
        <f t="shared" si="19"/>
        <v>0</v>
      </c>
      <c r="I312" s="143" t="s">
        <v>14</v>
      </c>
      <c r="J312" s="99">
        <v>5000000</v>
      </c>
      <c r="K312" s="100" t="s">
        <v>468</v>
      </c>
      <c r="L312" s="122" t="s">
        <v>469</v>
      </c>
      <c r="M312" s="101">
        <v>1</v>
      </c>
      <c r="N312" s="101" t="s">
        <v>467</v>
      </c>
      <c r="O312" s="123" t="s">
        <v>460</v>
      </c>
      <c r="P312" s="99">
        <f t="shared" ref="P312:P332" si="20">SUM(J312*M312)</f>
        <v>5000000</v>
      </c>
      <c r="Q312" s="125" t="s">
        <v>468</v>
      </c>
    </row>
    <row r="313" spans="1:17" ht="17.45" customHeight="1">
      <c r="A313" s="90"/>
      <c r="B313" s="104"/>
      <c r="C313" s="441" t="s">
        <v>555</v>
      </c>
      <c r="D313" s="236">
        <v>6000</v>
      </c>
      <c r="E313" s="236">
        <f t="shared" si="17"/>
        <v>6000</v>
      </c>
      <c r="F313" s="443"/>
      <c r="G313" s="238">
        <f t="shared" si="18"/>
        <v>0</v>
      </c>
      <c r="H313" s="239">
        <f t="shared" si="19"/>
        <v>0</v>
      </c>
      <c r="I313" s="143" t="s">
        <v>236</v>
      </c>
      <c r="J313" s="99">
        <v>3000000</v>
      </c>
      <c r="K313" s="100" t="s">
        <v>468</v>
      </c>
      <c r="L313" s="122" t="s">
        <v>469</v>
      </c>
      <c r="M313" s="101">
        <v>2</v>
      </c>
      <c r="N313" s="101" t="s">
        <v>467</v>
      </c>
      <c r="O313" s="123" t="s">
        <v>460</v>
      </c>
      <c r="P313" s="99">
        <f t="shared" si="20"/>
        <v>6000000</v>
      </c>
      <c r="Q313" s="125" t="s">
        <v>468</v>
      </c>
    </row>
    <row r="314" spans="1:17" ht="17.45" customHeight="1">
      <c r="A314" s="90"/>
      <c r="B314" s="104"/>
      <c r="C314" s="441" t="s">
        <v>80</v>
      </c>
      <c r="D314" s="236">
        <v>2400</v>
      </c>
      <c r="E314" s="236">
        <f t="shared" si="17"/>
        <v>2400</v>
      </c>
      <c r="F314" s="443"/>
      <c r="G314" s="238">
        <f t="shared" si="18"/>
        <v>0</v>
      </c>
      <c r="H314" s="239">
        <f t="shared" si="19"/>
        <v>0</v>
      </c>
      <c r="I314" s="143" t="s">
        <v>14</v>
      </c>
      <c r="J314" s="99">
        <v>2400000</v>
      </c>
      <c r="K314" s="100" t="s">
        <v>468</v>
      </c>
      <c r="L314" s="122" t="s">
        <v>469</v>
      </c>
      <c r="M314" s="101">
        <v>1</v>
      </c>
      <c r="N314" s="101" t="s">
        <v>467</v>
      </c>
      <c r="O314" s="123" t="s">
        <v>460</v>
      </c>
      <c r="P314" s="99">
        <f t="shared" si="20"/>
        <v>2400000</v>
      </c>
      <c r="Q314" s="125" t="s">
        <v>468</v>
      </c>
    </row>
    <row r="315" spans="1:17" ht="17.45" customHeight="1">
      <c r="A315" s="90"/>
      <c r="B315" s="104"/>
      <c r="C315" s="441" t="s">
        <v>65</v>
      </c>
      <c r="D315" s="236">
        <v>5000</v>
      </c>
      <c r="E315" s="236">
        <f t="shared" si="17"/>
        <v>5000</v>
      </c>
      <c r="F315" s="443"/>
      <c r="G315" s="238">
        <f t="shared" si="18"/>
        <v>0</v>
      </c>
      <c r="H315" s="239">
        <f t="shared" si="19"/>
        <v>0</v>
      </c>
      <c r="I315" s="143" t="s">
        <v>14</v>
      </c>
      <c r="J315" s="99">
        <v>5000000</v>
      </c>
      <c r="K315" s="100" t="s">
        <v>468</v>
      </c>
      <c r="L315" s="122" t="s">
        <v>469</v>
      </c>
      <c r="M315" s="101">
        <v>1</v>
      </c>
      <c r="N315" s="101" t="s">
        <v>467</v>
      </c>
      <c r="O315" s="123" t="s">
        <v>460</v>
      </c>
      <c r="P315" s="99">
        <f t="shared" si="20"/>
        <v>5000000</v>
      </c>
      <c r="Q315" s="125" t="s">
        <v>468</v>
      </c>
    </row>
    <row r="316" spans="1:17" ht="17.45" customHeight="1">
      <c r="A316" s="90"/>
      <c r="B316" s="104"/>
      <c r="C316" s="441" t="s">
        <v>79</v>
      </c>
      <c r="D316" s="236">
        <v>6430</v>
      </c>
      <c r="E316" s="236">
        <f t="shared" si="17"/>
        <v>6430</v>
      </c>
      <c r="F316" s="443"/>
      <c r="G316" s="238">
        <f t="shared" si="18"/>
        <v>0</v>
      </c>
      <c r="H316" s="239">
        <f t="shared" si="19"/>
        <v>0</v>
      </c>
      <c r="I316" s="143" t="s">
        <v>236</v>
      </c>
      <c r="J316" s="99">
        <v>3215000</v>
      </c>
      <c r="K316" s="100" t="s">
        <v>468</v>
      </c>
      <c r="L316" s="122" t="s">
        <v>469</v>
      </c>
      <c r="M316" s="101">
        <v>2</v>
      </c>
      <c r="N316" s="101" t="s">
        <v>467</v>
      </c>
      <c r="O316" s="123" t="s">
        <v>460</v>
      </c>
      <c r="P316" s="99">
        <f t="shared" si="20"/>
        <v>6430000</v>
      </c>
      <c r="Q316" s="125" t="s">
        <v>468</v>
      </c>
    </row>
    <row r="317" spans="1:17" ht="17.45" customHeight="1">
      <c r="A317" s="90"/>
      <c r="B317" s="104"/>
      <c r="C317" s="456" t="s">
        <v>542</v>
      </c>
      <c r="D317" s="236">
        <v>81999.99999099999</v>
      </c>
      <c r="E317" s="236">
        <f t="shared" si="17"/>
        <v>84999.999980000008</v>
      </c>
      <c r="F317" s="443"/>
      <c r="G317" s="238">
        <f t="shared" si="18"/>
        <v>2999.9999890000181</v>
      </c>
      <c r="H317" s="239">
        <f t="shared" si="19"/>
        <v>3.6585365723527885</v>
      </c>
      <c r="I317" s="143" t="s">
        <v>236</v>
      </c>
      <c r="J317" s="99">
        <v>6071428.5700000003</v>
      </c>
      <c r="K317" s="100" t="s">
        <v>468</v>
      </c>
      <c r="L317" s="122" t="s">
        <v>469</v>
      </c>
      <c r="M317" s="101">
        <v>14</v>
      </c>
      <c r="N317" s="101" t="s">
        <v>467</v>
      </c>
      <c r="O317" s="123" t="s">
        <v>460</v>
      </c>
      <c r="P317" s="99">
        <f t="shared" si="20"/>
        <v>84999999.980000004</v>
      </c>
      <c r="Q317" s="125" t="s">
        <v>468</v>
      </c>
    </row>
    <row r="318" spans="1:17" ht="17.45" customHeight="1">
      <c r="A318" s="281" t="s">
        <v>475</v>
      </c>
      <c r="B318" s="91" t="s">
        <v>475</v>
      </c>
      <c r="C318" s="446" t="s">
        <v>45</v>
      </c>
      <c r="D318" s="448">
        <v>3300</v>
      </c>
      <c r="E318" s="448">
        <f t="shared" si="17"/>
        <v>3300</v>
      </c>
      <c r="F318" s="449"/>
      <c r="G318" s="299">
        <f t="shared" si="18"/>
        <v>0</v>
      </c>
      <c r="H318" s="300">
        <f t="shared" si="19"/>
        <v>0</v>
      </c>
      <c r="I318" s="143" t="s">
        <v>14</v>
      </c>
      <c r="J318" s="99">
        <v>3300000</v>
      </c>
      <c r="K318" s="100" t="s">
        <v>468</v>
      </c>
      <c r="L318" s="122" t="s">
        <v>469</v>
      </c>
      <c r="M318" s="101">
        <v>1</v>
      </c>
      <c r="N318" s="101" t="s">
        <v>467</v>
      </c>
      <c r="O318" s="123" t="s">
        <v>460</v>
      </c>
      <c r="P318" s="99">
        <f t="shared" si="20"/>
        <v>3300000</v>
      </c>
      <c r="Q318" s="125" t="s">
        <v>468</v>
      </c>
    </row>
    <row r="319" spans="1:17" ht="17.45" customHeight="1">
      <c r="A319" s="281"/>
      <c r="B319" s="91"/>
      <c r="C319" s="441" t="s">
        <v>161</v>
      </c>
      <c r="D319" s="236">
        <v>5000</v>
      </c>
      <c r="E319" s="236">
        <f t="shared" si="17"/>
        <v>5000</v>
      </c>
      <c r="F319" s="236" t="e">
        <f>Q319/1000</f>
        <v>#VALUE!</v>
      </c>
      <c r="G319" s="238">
        <f t="shared" si="18"/>
        <v>0</v>
      </c>
      <c r="H319" s="239">
        <f t="shared" si="19"/>
        <v>0</v>
      </c>
      <c r="I319" s="143" t="s">
        <v>14</v>
      </c>
      <c r="J319" s="99">
        <v>5000000</v>
      </c>
      <c r="K319" s="100" t="s">
        <v>468</v>
      </c>
      <c r="L319" s="122" t="s">
        <v>469</v>
      </c>
      <c r="M319" s="101">
        <v>1</v>
      </c>
      <c r="N319" s="101" t="s">
        <v>467</v>
      </c>
      <c r="O319" s="123" t="s">
        <v>460</v>
      </c>
      <c r="P319" s="99">
        <f t="shared" si="20"/>
        <v>5000000</v>
      </c>
      <c r="Q319" s="125" t="s">
        <v>468</v>
      </c>
    </row>
    <row r="320" spans="1:17" ht="17.45" customHeight="1">
      <c r="A320" s="281"/>
      <c r="B320" s="91"/>
      <c r="C320" s="457" t="s">
        <v>554</v>
      </c>
      <c r="D320" s="448">
        <v>8000</v>
      </c>
      <c r="E320" s="448">
        <f t="shared" si="17"/>
        <v>8000</v>
      </c>
      <c r="F320" s="449"/>
      <c r="G320" s="299">
        <f t="shared" si="18"/>
        <v>0</v>
      </c>
      <c r="H320" s="300">
        <f t="shared" si="19"/>
        <v>0</v>
      </c>
      <c r="I320" s="143" t="s">
        <v>236</v>
      </c>
      <c r="J320" s="99">
        <v>4000000</v>
      </c>
      <c r="K320" s="100" t="s">
        <v>468</v>
      </c>
      <c r="L320" s="122" t="s">
        <v>469</v>
      </c>
      <c r="M320" s="101">
        <v>2</v>
      </c>
      <c r="N320" s="101" t="s">
        <v>467</v>
      </c>
      <c r="O320" s="123" t="s">
        <v>460</v>
      </c>
      <c r="P320" s="99">
        <f t="shared" si="20"/>
        <v>8000000</v>
      </c>
      <c r="Q320" s="125" t="s">
        <v>468</v>
      </c>
    </row>
    <row r="321" spans="1:17" ht="17.45" customHeight="1">
      <c r="A321" s="90"/>
      <c r="B321" s="104"/>
      <c r="C321" s="444" t="s">
        <v>363</v>
      </c>
      <c r="D321" s="236">
        <v>3000</v>
      </c>
      <c r="E321" s="236">
        <f t="shared" si="17"/>
        <v>3000</v>
      </c>
      <c r="F321" s="443"/>
      <c r="G321" s="238">
        <f t="shared" si="18"/>
        <v>0</v>
      </c>
      <c r="H321" s="239">
        <f t="shared" si="19"/>
        <v>0</v>
      </c>
      <c r="I321" s="143" t="s">
        <v>14</v>
      </c>
      <c r="J321" s="99">
        <v>3000000</v>
      </c>
      <c r="K321" s="100" t="s">
        <v>468</v>
      </c>
      <c r="L321" s="122" t="s">
        <v>469</v>
      </c>
      <c r="M321" s="101">
        <v>1</v>
      </c>
      <c r="N321" s="101" t="s">
        <v>467</v>
      </c>
      <c r="O321" s="123" t="s">
        <v>460</v>
      </c>
      <c r="P321" s="99">
        <f t="shared" si="20"/>
        <v>3000000</v>
      </c>
      <c r="Q321" s="125" t="s">
        <v>468</v>
      </c>
    </row>
    <row r="322" spans="1:17" ht="17.45" customHeight="1">
      <c r="A322" s="281"/>
      <c r="B322" s="91"/>
      <c r="C322" s="458" t="s">
        <v>47</v>
      </c>
      <c r="D322" s="448">
        <v>8000</v>
      </c>
      <c r="E322" s="448">
        <f t="shared" si="17"/>
        <v>8000</v>
      </c>
      <c r="F322" s="449"/>
      <c r="G322" s="299">
        <f t="shared" si="18"/>
        <v>0</v>
      </c>
      <c r="H322" s="300">
        <f t="shared" si="19"/>
        <v>0</v>
      </c>
      <c r="I322" s="143" t="s">
        <v>236</v>
      </c>
      <c r="J322" s="99">
        <v>4000000</v>
      </c>
      <c r="K322" s="100" t="s">
        <v>468</v>
      </c>
      <c r="L322" s="122" t="s">
        <v>469</v>
      </c>
      <c r="M322" s="101">
        <v>2</v>
      </c>
      <c r="N322" s="101" t="s">
        <v>467</v>
      </c>
      <c r="O322" s="123" t="s">
        <v>460</v>
      </c>
      <c r="P322" s="99">
        <f t="shared" si="20"/>
        <v>8000000</v>
      </c>
      <c r="Q322" s="125" t="s">
        <v>468</v>
      </c>
    </row>
    <row r="323" spans="1:17" ht="17.45" customHeight="1">
      <c r="A323" s="90"/>
      <c r="B323" s="104"/>
      <c r="C323" s="441" t="s">
        <v>385</v>
      </c>
      <c r="D323" s="236">
        <v>4800</v>
      </c>
      <c r="E323" s="236">
        <f t="shared" si="17"/>
        <v>4800</v>
      </c>
      <c r="F323" s="443"/>
      <c r="G323" s="238">
        <f t="shared" si="18"/>
        <v>0</v>
      </c>
      <c r="H323" s="239">
        <f t="shared" si="19"/>
        <v>0</v>
      </c>
      <c r="I323" s="143" t="s">
        <v>14</v>
      </c>
      <c r="J323" s="99">
        <v>4800000</v>
      </c>
      <c r="K323" s="100" t="s">
        <v>468</v>
      </c>
      <c r="L323" s="122" t="s">
        <v>469</v>
      </c>
      <c r="M323" s="101">
        <v>1</v>
      </c>
      <c r="N323" s="101" t="s">
        <v>467</v>
      </c>
      <c r="O323" s="123" t="s">
        <v>460</v>
      </c>
      <c r="P323" s="99">
        <f t="shared" si="20"/>
        <v>4800000</v>
      </c>
      <c r="Q323" s="125" t="s">
        <v>468</v>
      </c>
    </row>
    <row r="324" spans="1:17" ht="17.45" customHeight="1">
      <c r="A324" s="362"/>
      <c r="B324" s="363"/>
      <c r="C324" s="445" t="s">
        <v>89</v>
      </c>
      <c r="D324" s="236">
        <v>4800</v>
      </c>
      <c r="E324" s="236">
        <f t="shared" si="17"/>
        <v>4800</v>
      </c>
      <c r="F324" s="443"/>
      <c r="G324" s="238">
        <f t="shared" si="18"/>
        <v>0</v>
      </c>
      <c r="H324" s="239">
        <f t="shared" si="19"/>
        <v>0</v>
      </c>
      <c r="I324" s="143" t="s">
        <v>14</v>
      </c>
      <c r="J324" s="99">
        <v>4800000</v>
      </c>
      <c r="K324" s="100" t="s">
        <v>468</v>
      </c>
      <c r="L324" s="122" t="s">
        <v>469</v>
      </c>
      <c r="M324" s="101">
        <v>1</v>
      </c>
      <c r="N324" s="101" t="s">
        <v>467</v>
      </c>
      <c r="O324" s="123" t="s">
        <v>460</v>
      </c>
      <c r="P324" s="99">
        <f t="shared" si="20"/>
        <v>4800000</v>
      </c>
      <c r="Q324" s="125" t="s">
        <v>468</v>
      </c>
    </row>
    <row r="325" spans="1:17" ht="17.45" customHeight="1">
      <c r="A325" s="90"/>
      <c r="B325" s="104"/>
      <c r="C325" s="444" t="s">
        <v>265</v>
      </c>
      <c r="D325" s="236">
        <v>3000</v>
      </c>
      <c r="E325" s="236">
        <f t="shared" si="17"/>
        <v>3000</v>
      </c>
      <c r="F325" s="443"/>
      <c r="G325" s="238">
        <f t="shared" si="18"/>
        <v>0</v>
      </c>
      <c r="H325" s="239">
        <f t="shared" si="19"/>
        <v>0</v>
      </c>
      <c r="I325" s="143" t="s">
        <v>14</v>
      </c>
      <c r="J325" s="99">
        <v>3000000</v>
      </c>
      <c r="K325" s="100" t="s">
        <v>468</v>
      </c>
      <c r="L325" s="122" t="s">
        <v>469</v>
      </c>
      <c r="M325" s="101">
        <v>1</v>
      </c>
      <c r="N325" s="101" t="s">
        <v>467</v>
      </c>
      <c r="O325" s="123" t="s">
        <v>460</v>
      </c>
      <c r="P325" s="99">
        <f t="shared" si="20"/>
        <v>3000000</v>
      </c>
      <c r="Q325" s="125" t="s">
        <v>468</v>
      </c>
    </row>
    <row r="326" spans="1:17" ht="17.45" customHeight="1">
      <c r="A326" s="90"/>
      <c r="B326" s="104"/>
      <c r="C326" s="445" t="s">
        <v>66</v>
      </c>
      <c r="D326" s="236">
        <v>3600</v>
      </c>
      <c r="E326" s="236">
        <f t="shared" si="17"/>
        <v>3600</v>
      </c>
      <c r="F326" s="443"/>
      <c r="G326" s="238">
        <f t="shared" si="18"/>
        <v>0</v>
      </c>
      <c r="H326" s="239">
        <f t="shared" si="19"/>
        <v>0</v>
      </c>
      <c r="I326" s="143" t="s">
        <v>14</v>
      </c>
      <c r="J326" s="99">
        <v>3600000</v>
      </c>
      <c r="K326" s="100" t="s">
        <v>468</v>
      </c>
      <c r="L326" s="122" t="s">
        <v>469</v>
      </c>
      <c r="M326" s="101">
        <v>1</v>
      </c>
      <c r="N326" s="101" t="s">
        <v>467</v>
      </c>
      <c r="O326" s="123" t="s">
        <v>460</v>
      </c>
      <c r="P326" s="99">
        <f t="shared" si="20"/>
        <v>3600000</v>
      </c>
      <c r="Q326" s="125" t="s">
        <v>468</v>
      </c>
    </row>
    <row r="327" spans="1:17" ht="17.45" customHeight="1">
      <c r="A327" s="90"/>
      <c r="B327" s="104"/>
      <c r="C327" s="445" t="s">
        <v>123</v>
      </c>
      <c r="D327" s="236">
        <v>3000</v>
      </c>
      <c r="E327" s="236">
        <f t="shared" si="17"/>
        <v>3000</v>
      </c>
      <c r="F327" s="443"/>
      <c r="G327" s="238">
        <f t="shared" si="18"/>
        <v>0</v>
      </c>
      <c r="H327" s="239">
        <f t="shared" si="19"/>
        <v>0</v>
      </c>
      <c r="I327" s="143" t="s">
        <v>14</v>
      </c>
      <c r="J327" s="99">
        <v>3000000</v>
      </c>
      <c r="K327" s="100" t="s">
        <v>468</v>
      </c>
      <c r="L327" s="122" t="s">
        <v>469</v>
      </c>
      <c r="M327" s="101">
        <v>1</v>
      </c>
      <c r="N327" s="101" t="s">
        <v>467</v>
      </c>
      <c r="O327" s="123" t="s">
        <v>460</v>
      </c>
      <c r="P327" s="99">
        <f t="shared" si="20"/>
        <v>3000000</v>
      </c>
      <c r="Q327" s="125" t="s">
        <v>468</v>
      </c>
    </row>
    <row r="328" spans="1:17" ht="17.45" customHeight="1">
      <c r="A328" s="90"/>
      <c r="B328" s="104"/>
      <c r="C328" s="444" t="s">
        <v>407</v>
      </c>
      <c r="D328" s="236">
        <v>5000</v>
      </c>
      <c r="E328" s="236">
        <f t="shared" si="17"/>
        <v>15000</v>
      </c>
      <c r="F328" s="443"/>
      <c r="G328" s="238">
        <f t="shared" si="18"/>
        <v>10000</v>
      </c>
      <c r="H328" s="239">
        <f t="shared" si="19"/>
        <v>200</v>
      </c>
      <c r="I328" s="143" t="s">
        <v>236</v>
      </c>
      <c r="J328" s="99">
        <v>7500000</v>
      </c>
      <c r="K328" s="100" t="s">
        <v>468</v>
      </c>
      <c r="L328" s="122" t="s">
        <v>469</v>
      </c>
      <c r="M328" s="101">
        <v>2</v>
      </c>
      <c r="N328" s="101" t="s">
        <v>467</v>
      </c>
      <c r="O328" s="123" t="s">
        <v>460</v>
      </c>
      <c r="P328" s="99">
        <f t="shared" si="20"/>
        <v>15000000</v>
      </c>
      <c r="Q328" s="125" t="s">
        <v>468</v>
      </c>
    </row>
    <row r="329" spans="1:17" ht="17.45" customHeight="1">
      <c r="A329" s="281"/>
      <c r="B329" s="91"/>
      <c r="C329" s="446" t="s">
        <v>70</v>
      </c>
      <c r="D329" s="448">
        <v>2700</v>
      </c>
      <c r="E329" s="448">
        <f t="shared" si="17"/>
        <v>2700</v>
      </c>
      <c r="F329" s="449"/>
      <c r="G329" s="299">
        <f t="shared" si="18"/>
        <v>0</v>
      </c>
      <c r="H329" s="300">
        <f t="shared" si="19"/>
        <v>0</v>
      </c>
      <c r="I329" s="143" t="s">
        <v>14</v>
      </c>
      <c r="J329" s="99">
        <v>2700000</v>
      </c>
      <c r="K329" s="100" t="s">
        <v>468</v>
      </c>
      <c r="L329" s="122" t="s">
        <v>469</v>
      </c>
      <c r="M329" s="101">
        <v>1</v>
      </c>
      <c r="N329" s="101" t="s">
        <v>467</v>
      </c>
      <c r="O329" s="123" t="s">
        <v>460</v>
      </c>
      <c r="P329" s="99">
        <f t="shared" si="20"/>
        <v>2700000</v>
      </c>
      <c r="Q329" s="125" t="s">
        <v>468</v>
      </c>
    </row>
    <row r="330" spans="1:17" ht="17.45" customHeight="1">
      <c r="A330" s="90"/>
      <c r="B330" s="104"/>
      <c r="C330" s="441" t="s">
        <v>86</v>
      </c>
      <c r="D330" s="236">
        <v>2700</v>
      </c>
      <c r="E330" s="236">
        <f t="shared" si="17"/>
        <v>2700</v>
      </c>
      <c r="F330" s="443"/>
      <c r="G330" s="238">
        <f t="shared" si="18"/>
        <v>0</v>
      </c>
      <c r="H330" s="239">
        <f t="shared" si="19"/>
        <v>0</v>
      </c>
      <c r="I330" s="143" t="s">
        <v>14</v>
      </c>
      <c r="J330" s="99">
        <v>2700000</v>
      </c>
      <c r="K330" s="100" t="s">
        <v>468</v>
      </c>
      <c r="L330" s="122" t="s">
        <v>469</v>
      </c>
      <c r="M330" s="101">
        <v>1</v>
      </c>
      <c r="N330" s="101" t="s">
        <v>467</v>
      </c>
      <c r="O330" s="123" t="s">
        <v>460</v>
      </c>
      <c r="P330" s="99">
        <f t="shared" si="20"/>
        <v>2700000</v>
      </c>
      <c r="Q330" s="125" t="s">
        <v>468</v>
      </c>
    </row>
    <row r="331" spans="1:17" ht="17.45" customHeight="1">
      <c r="A331" s="362"/>
      <c r="B331" s="363"/>
      <c r="C331" s="441" t="s">
        <v>99</v>
      </c>
      <c r="D331" s="236">
        <v>3000</v>
      </c>
      <c r="E331" s="236">
        <v>3000</v>
      </c>
      <c r="F331" s="443"/>
      <c r="G331" s="238">
        <f t="shared" si="18"/>
        <v>0</v>
      </c>
      <c r="H331" s="239">
        <v>0</v>
      </c>
      <c r="I331" s="143" t="s">
        <v>14</v>
      </c>
      <c r="J331" s="99">
        <v>3000000</v>
      </c>
      <c r="K331" s="100" t="s">
        <v>468</v>
      </c>
      <c r="L331" s="122" t="s">
        <v>469</v>
      </c>
      <c r="M331" s="101">
        <v>1</v>
      </c>
      <c r="N331" s="101" t="s">
        <v>467</v>
      </c>
      <c r="O331" s="123" t="s">
        <v>460</v>
      </c>
      <c r="P331" s="99">
        <f t="shared" si="20"/>
        <v>3000000</v>
      </c>
      <c r="Q331" s="125" t="s">
        <v>468</v>
      </c>
    </row>
    <row r="332" spans="1:17" ht="17.45" customHeight="1">
      <c r="A332" s="281"/>
      <c r="B332" s="91"/>
      <c r="C332" s="441" t="s">
        <v>55</v>
      </c>
      <c r="D332" s="236">
        <v>2400</v>
      </c>
      <c r="E332" s="236">
        <f t="shared" ref="E332:E347" si="21">P332/1000</f>
        <v>2400</v>
      </c>
      <c r="F332" s="443"/>
      <c r="G332" s="238">
        <f t="shared" si="18"/>
        <v>0</v>
      </c>
      <c r="H332" s="239">
        <f t="shared" ref="H332:H340" si="22">+G332/D332*100</f>
        <v>0</v>
      </c>
      <c r="I332" s="143" t="s">
        <v>14</v>
      </c>
      <c r="J332" s="99">
        <v>2400000</v>
      </c>
      <c r="K332" s="100" t="s">
        <v>468</v>
      </c>
      <c r="L332" s="122" t="s">
        <v>469</v>
      </c>
      <c r="M332" s="101">
        <v>1</v>
      </c>
      <c r="N332" s="101" t="s">
        <v>467</v>
      </c>
      <c r="O332" s="123" t="s">
        <v>460</v>
      </c>
      <c r="P332" s="99">
        <f t="shared" si="20"/>
        <v>2400000</v>
      </c>
      <c r="Q332" s="125" t="s">
        <v>468</v>
      </c>
    </row>
    <row r="333" spans="1:17" ht="17.45" customHeight="1">
      <c r="A333" s="281"/>
      <c r="B333" s="91"/>
      <c r="C333" s="459" t="s">
        <v>175</v>
      </c>
      <c r="D333" s="373">
        <v>900</v>
      </c>
      <c r="E333" s="236">
        <f t="shared" si="21"/>
        <v>900</v>
      </c>
      <c r="F333" s="452"/>
      <c r="G333" s="238">
        <f t="shared" si="18"/>
        <v>0</v>
      </c>
      <c r="H333" s="239">
        <f t="shared" si="22"/>
        <v>0</v>
      </c>
      <c r="I333" s="143" t="s">
        <v>14</v>
      </c>
      <c r="J333" s="99">
        <v>900000</v>
      </c>
      <c r="K333" s="100" t="s">
        <v>468</v>
      </c>
      <c r="L333" s="122" t="s">
        <v>469</v>
      </c>
      <c r="M333" s="101">
        <v>1</v>
      </c>
      <c r="N333" s="101" t="s">
        <v>467</v>
      </c>
      <c r="O333" s="123" t="s">
        <v>460</v>
      </c>
      <c r="P333" s="99">
        <f>SUM(J333*M333)</f>
        <v>900000</v>
      </c>
      <c r="Q333" s="125" t="s">
        <v>468</v>
      </c>
    </row>
    <row r="334" spans="1:17" ht="17.45" customHeight="1">
      <c r="A334" s="90"/>
      <c r="B334" s="104"/>
      <c r="C334" s="455" t="s">
        <v>389</v>
      </c>
      <c r="D334" s="373">
        <v>8599.9999800000005</v>
      </c>
      <c r="E334" s="236">
        <f t="shared" si="21"/>
        <v>8599.9999800000005</v>
      </c>
      <c r="F334" s="452"/>
      <c r="G334" s="238">
        <f t="shared" ref="G334:G347" si="23">+E334-D334</f>
        <v>0</v>
      </c>
      <c r="H334" s="239">
        <f t="shared" si="22"/>
        <v>0</v>
      </c>
      <c r="I334" s="143" t="s">
        <v>236</v>
      </c>
      <c r="J334" s="99">
        <v>2866666.66</v>
      </c>
      <c r="K334" s="100" t="s">
        <v>468</v>
      </c>
      <c r="L334" s="122" t="s">
        <v>469</v>
      </c>
      <c r="M334" s="101">
        <v>3</v>
      </c>
      <c r="N334" s="101" t="s">
        <v>467</v>
      </c>
      <c r="O334" s="123" t="s">
        <v>460</v>
      </c>
      <c r="P334" s="99">
        <f>SUM(J334*M334)</f>
        <v>8599999.9800000004</v>
      </c>
      <c r="Q334" s="125" t="s">
        <v>468</v>
      </c>
    </row>
    <row r="335" spans="1:17" ht="17.45" customHeight="1">
      <c r="A335" s="90"/>
      <c r="B335" s="104"/>
      <c r="C335" s="444" t="s">
        <v>149</v>
      </c>
      <c r="D335" s="236">
        <v>10000</v>
      </c>
      <c r="E335" s="236">
        <f t="shared" si="21"/>
        <v>20014.168000000001</v>
      </c>
      <c r="F335" s="452"/>
      <c r="G335" s="238">
        <f t="shared" si="23"/>
        <v>10014.168000000001</v>
      </c>
      <c r="H335" s="239">
        <f t="shared" si="22"/>
        <v>100.14168000000001</v>
      </c>
      <c r="I335" s="143" t="s">
        <v>236</v>
      </c>
      <c r="J335" s="99">
        <v>4002833.6</v>
      </c>
      <c r="K335" s="100" t="s">
        <v>468</v>
      </c>
      <c r="L335" s="122" t="s">
        <v>469</v>
      </c>
      <c r="M335" s="101">
        <v>5</v>
      </c>
      <c r="N335" s="101" t="s">
        <v>467</v>
      </c>
      <c r="O335" s="123" t="s">
        <v>460</v>
      </c>
      <c r="P335" s="99">
        <f>SUM(J335*M335)</f>
        <v>20014168</v>
      </c>
      <c r="Q335" s="125" t="s">
        <v>468</v>
      </c>
    </row>
    <row r="336" spans="1:17" ht="17.45" customHeight="1">
      <c r="A336" s="90"/>
      <c r="B336" s="104"/>
      <c r="C336" s="446" t="s">
        <v>383</v>
      </c>
      <c r="D336" s="236">
        <v>93954.31</v>
      </c>
      <c r="E336" s="448">
        <f t="shared" si="21"/>
        <v>93954.31</v>
      </c>
      <c r="F336" s="449"/>
      <c r="G336" s="299">
        <f t="shared" si="23"/>
        <v>0</v>
      </c>
      <c r="H336" s="300">
        <f t="shared" si="22"/>
        <v>0</v>
      </c>
      <c r="I336" s="217" t="s">
        <v>282</v>
      </c>
      <c r="J336" s="99">
        <v>18790862</v>
      </c>
      <c r="K336" s="100" t="s">
        <v>468</v>
      </c>
      <c r="L336" s="122" t="s">
        <v>497</v>
      </c>
      <c r="M336" s="101">
        <v>5</v>
      </c>
      <c r="N336" s="101" t="s">
        <v>467</v>
      </c>
      <c r="O336" s="123" t="s">
        <v>460</v>
      </c>
      <c r="P336" s="99">
        <f>J336*M336</f>
        <v>93954310</v>
      </c>
      <c r="Q336" s="125" t="s">
        <v>468</v>
      </c>
    </row>
    <row r="337" spans="1:17" ht="17.45" customHeight="1">
      <c r="A337" s="90"/>
      <c r="B337" s="104"/>
      <c r="C337" s="441" t="s">
        <v>394</v>
      </c>
      <c r="D337" s="236">
        <v>2100</v>
      </c>
      <c r="E337" s="236">
        <f t="shared" si="21"/>
        <v>11891.29998</v>
      </c>
      <c r="F337" s="443"/>
      <c r="G337" s="238">
        <f t="shared" si="23"/>
        <v>9791.2999799999998</v>
      </c>
      <c r="H337" s="300">
        <f t="shared" si="22"/>
        <v>466.25237999999996</v>
      </c>
      <c r="I337" s="143" t="s">
        <v>236</v>
      </c>
      <c r="J337" s="99">
        <v>3963766.66</v>
      </c>
      <c r="K337" s="100" t="s">
        <v>468</v>
      </c>
      <c r="L337" s="122" t="s">
        <v>469</v>
      </c>
      <c r="M337" s="101">
        <v>3</v>
      </c>
      <c r="N337" s="101" t="s">
        <v>467</v>
      </c>
      <c r="O337" s="123" t="s">
        <v>460</v>
      </c>
      <c r="P337" s="99">
        <f>SUM(J337*M337)</f>
        <v>11891299.98</v>
      </c>
      <c r="Q337" s="125" t="s">
        <v>468</v>
      </c>
    </row>
    <row r="338" spans="1:17" ht="17.45" customHeight="1">
      <c r="A338" s="90"/>
      <c r="B338" s="104"/>
      <c r="C338" s="444" t="s">
        <v>425</v>
      </c>
      <c r="D338" s="236">
        <v>3400</v>
      </c>
      <c r="E338" s="236">
        <f t="shared" si="21"/>
        <v>3400</v>
      </c>
      <c r="F338" s="443"/>
      <c r="G338" s="238">
        <f t="shared" si="23"/>
        <v>0</v>
      </c>
      <c r="H338" s="300">
        <f t="shared" si="22"/>
        <v>0</v>
      </c>
      <c r="I338" s="143" t="s">
        <v>14</v>
      </c>
      <c r="J338" s="99">
        <v>850000</v>
      </c>
      <c r="K338" s="100" t="s">
        <v>468</v>
      </c>
      <c r="L338" s="122" t="s">
        <v>469</v>
      </c>
      <c r="M338" s="101">
        <v>4</v>
      </c>
      <c r="N338" s="101" t="s">
        <v>467</v>
      </c>
      <c r="O338" s="123" t="s">
        <v>460</v>
      </c>
      <c r="P338" s="99">
        <f>SUM(J338*M338)</f>
        <v>3400000</v>
      </c>
      <c r="Q338" s="125" t="s">
        <v>468</v>
      </c>
    </row>
    <row r="339" spans="1:17" ht="17.45" customHeight="1">
      <c r="A339" s="90"/>
      <c r="B339" s="104"/>
      <c r="C339" s="456" t="s">
        <v>373</v>
      </c>
      <c r="D339" s="236">
        <v>26569.32</v>
      </c>
      <c r="E339" s="236">
        <f t="shared" si="21"/>
        <v>33719.32</v>
      </c>
      <c r="F339" s="443"/>
      <c r="G339" s="238">
        <f t="shared" si="23"/>
        <v>7150</v>
      </c>
      <c r="H339" s="300">
        <f t="shared" si="22"/>
        <v>26.910737647783233</v>
      </c>
      <c r="I339" s="217" t="s">
        <v>558</v>
      </c>
      <c r="J339" s="257">
        <v>8429830</v>
      </c>
      <c r="K339" s="100" t="s">
        <v>468</v>
      </c>
      <c r="L339" s="122" t="s">
        <v>469</v>
      </c>
      <c r="M339" s="101">
        <v>4</v>
      </c>
      <c r="N339" s="101" t="s">
        <v>467</v>
      </c>
      <c r="O339" s="123" t="s">
        <v>460</v>
      </c>
      <c r="P339" s="99">
        <f>SUM(J339*M339)</f>
        <v>33719320</v>
      </c>
      <c r="Q339" s="125" t="s">
        <v>468</v>
      </c>
    </row>
    <row r="340" spans="1:17" ht="17.45" customHeight="1">
      <c r="A340" s="90"/>
      <c r="B340" s="104"/>
      <c r="C340" s="456" t="s">
        <v>413</v>
      </c>
      <c r="D340" s="236">
        <v>300</v>
      </c>
      <c r="E340" s="236">
        <f t="shared" si="21"/>
        <v>300</v>
      </c>
      <c r="F340" s="443"/>
      <c r="G340" s="238">
        <f t="shared" si="23"/>
        <v>0</v>
      </c>
      <c r="H340" s="300">
        <f t="shared" si="22"/>
        <v>0</v>
      </c>
      <c r="I340" s="143" t="s">
        <v>14</v>
      </c>
      <c r="J340" s="257">
        <v>300000</v>
      </c>
      <c r="K340" s="100" t="s">
        <v>468</v>
      </c>
      <c r="L340" s="122" t="s">
        <v>469</v>
      </c>
      <c r="M340" s="101">
        <v>1</v>
      </c>
      <c r="N340" s="101" t="s">
        <v>467</v>
      </c>
      <c r="O340" s="123" t="s">
        <v>460</v>
      </c>
      <c r="P340" s="99">
        <f t="shared" ref="P340:P346" si="24">SUM(J340*M340)</f>
        <v>300000</v>
      </c>
      <c r="Q340" s="125" t="s">
        <v>468</v>
      </c>
    </row>
    <row r="341" spans="1:17" ht="17.45" customHeight="1">
      <c r="A341" s="90"/>
      <c r="B341" s="104"/>
      <c r="C341" s="445" t="s">
        <v>179</v>
      </c>
      <c r="D341" s="236">
        <v>300</v>
      </c>
      <c r="E341" s="236">
        <f t="shared" si="21"/>
        <v>3478</v>
      </c>
      <c r="F341" s="443"/>
      <c r="G341" s="238">
        <f t="shared" si="23"/>
        <v>3178</v>
      </c>
      <c r="H341" s="239">
        <f t="shared" ref="H341:H346" si="25">G341/D341*100</f>
        <v>1059.3333333333335</v>
      </c>
      <c r="I341" s="143" t="s">
        <v>236</v>
      </c>
      <c r="J341" s="257">
        <v>1739000</v>
      </c>
      <c r="K341" s="100" t="s">
        <v>468</v>
      </c>
      <c r="L341" s="122" t="s">
        <v>469</v>
      </c>
      <c r="M341" s="101">
        <v>2</v>
      </c>
      <c r="N341" s="101" t="s">
        <v>467</v>
      </c>
      <c r="O341" s="123" t="s">
        <v>460</v>
      </c>
      <c r="P341" s="99">
        <f t="shared" si="24"/>
        <v>3478000</v>
      </c>
      <c r="Q341" s="125" t="s">
        <v>468</v>
      </c>
    </row>
    <row r="342" spans="1:17" ht="17.45" customHeight="1">
      <c r="A342" s="90"/>
      <c r="B342" s="104"/>
      <c r="C342" s="445" t="s">
        <v>153</v>
      </c>
      <c r="D342" s="236">
        <v>300</v>
      </c>
      <c r="E342" s="236">
        <f t="shared" si="21"/>
        <v>300</v>
      </c>
      <c r="F342" s="443"/>
      <c r="G342" s="238">
        <f t="shared" si="23"/>
        <v>0</v>
      </c>
      <c r="H342" s="239">
        <f t="shared" si="25"/>
        <v>0</v>
      </c>
      <c r="I342" s="143" t="s">
        <v>14</v>
      </c>
      <c r="J342" s="257">
        <v>300000</v>
      </c>
      <c r="K342" s="100" t="s">
        <v>468</v>
      </c>
      <c r="L342" s="122" t="s">
        <v>469</v>
      </c>
      <c r="M342" s="101">
        <v>1</v>
      </c>
      <c r="N342" s="101" t="s">
        <v>467</v>
      </c>
      <c r="O342" s="123" t="s">
        <v>460</v>
      </c>
      <c r="P342" s="99">
        <f t="shared" si="24"/>
        <v>300000</v>
      </c>
      <c r="Q342" s="125" t="s">
        <v>468</v>
      </c>
    </row>
    <row r="343" spans="1:17" ht="17.45" customHeight="1">
      <c r="A343" s="90"/>
      <c r="B343" s="104"/>
      <c r="C343" s="445" t="s">
        <v>189</v>
      </c>
      <c r="D343" s="236">
        <v>300</v>
      </c>
      <c r="E343" s="236">
        <f t="shared" si="21"/>
        <v>2554</v>
      </c>
      <c r="F343" s="443"/>
      <c r="G343" s="238">
        <f t="shared" si="23"/>
        <v>2254</v>
      </c>
      <c r="H343" s="239">
        <f t="shared" si="25"/>
        <v>751.33333333333337</v>
      </c>
      <c r="I343" s="143" t="s">
        <v>236</v>
      </c>
      <c r="J343" s="257">
        <v>1277000</v>
      </c>
      <c r="K343" s="100" t="s">
        <v>468</v>
      </c>
      <c r="L343" s="122" t="s">
        <v>469</v>
      </c>
      <c r="M343" s="101">
        <v>2</v>
      </c>
      <c r="N343" s="101" t="s">
        <v>467</v>
      </c>
      <c r="O343" s="123" t="s">
        <v>460</v>
      </c>
      <c r="P343" s="99">
        <f t="shared" si="24"/>
        <v>2554000</v>
      </c>
      <c r="Q343" s="125" t="s">
        <v>468</v>
      </c>
    </row>
    <row r="344" spans="1:17" ht="17.45" customHeight="1">
      <c r="A344" s="90"/>
      <c r="B344" s="104"/>
      <c r="C344" s="445" t="s">
        <v>219</v>
      </c>
      <c r="D344" s="236">
        <v>5000</v>
      </c>
      <c r="E344" s="236">
        <f t="shared" si="21"/>
        <v>5000</v>
      </c>
      <c r="F344" s="443"/>
      <c r="G344" s="238">
        <f t="shared" si="23"/>
        <v>0</v>
      </c>
      <c r="H344" s="239">
        <f t="shared" si="25"/>
        <v>0</v>
      </c>
      <c r="I344" s="143" t="s">
        <v>14</v>
      </c>
      <c r="J344" s="257">
        <v>5000000</v>
      </c>
      <c r="K344" s="100" t="s">
        <v>468</v>
      </c>
      <c r="L344" s="122" t="s">
        <v>469</v>
      </c>
      <c r="M344" s="101">
        <v>1</v>
      </c>
      <c r="N344" s="101" t="s">
        <v>467</v>
      </c>
      <c r="O344" s="123" t="s">
        <v>460</v>
      </c>
      <c r="P344" s="99">
        <f>SUM(J344*M344)</f>
        <v>5000000</v>
      </c>
      <c r="Q344" s="125" t="s">
        <v>468</v>
      </c>
    </row>
    <row r="345" spans="1:17" ht="17.45" customHeight="1">
      <c r="A345" s="90"/>
      <c r="B345" s="104"/>
      <c r="C345" s="441" t="s">
        <v>390</v>
      </c>
      <c r="D345" s="236">
        <v>300</v>
      </c>
      <c r="E345" s="236">
        <f t="shared" si="21"/>
        <v>300</v>
      </c>
      <c r="F345" s="443"/>
      <c r="G345" s="238">
        <f t="shared" si="23"/>
        <v>0</v>
      </c>
      <c r="H345" s="239">
        <f t="shared" si="25"/>
        <v>0</v>
      </c>
      <c r="I345" s="143" t="s">
        <v>14</v>
      </c>
      <c r="J345" s="257">
        <v>300000</v>
      </c>
      <c r="K345" s="100" t="s">
        <v>468</v>
      </c>
      <c r="L345" s="122" t="s">
        <v>469</v>
      </c>
      <c r="M345" s="101">
        <v>1</v>
      </c>
      <c r="N345" s="101" t="s">
        <v>467</v>
      </c>
      <c r="O345" s="123" t="s">
        <v>460</v>
      </c>
      <c r="P345" s="99">
        <f t="shared" si="24"/>
        <v>300000</v>
      </c>
      <c r="Q345" s="125" t="s">
        <v>468</v>
      </c>
    </row>
    <row r="346" spans="1:17" ht="17.45" customHeight="1">
      <c r="A346" s="90"/>
      <c r="B346" s="104"/>
      <c r="C346" s="441" t="s">
        <v>180</v>
      </c>
      <c r="D346" s="236">
        <v>300</v>
      </c>
      <c r="E346" s="236">
        <f t="shared" si="21"/>
        <v>300</v>
      </c>
      <c r="F346" s="443"/>
      <c r="G346" s="238">
        <f t="shared" si="23"/>
        <v>0</v>
      </c>
      <c r="H346" s="239">
        <f t="shared" si="25"/>
        <v>0</v>
      </c>
      <c r="I346" s="143" t="s">
        <v>14</v>
      </c>
      <c r="J346" s="99">
        <v>300000</v>
      </c>
      <c r="K346" s="100" t="s">
        <v>468</v>
      </c>
      <c r="L346" s="122" t="s">
        <v>469</v>
      </c>
      <c r="M346" s="101">
        <v>1</v>
      </c>
      <c r="N346" s="101" t="s">
        <v>467</v>
      </c>
      <c r="O346" s="123" t="s">
        <v>460</v>
      </c>
      <c r="P346" s="99">
        <f t="shared" si="24"/>
        <v>300000</v>
      </c>
      <c r="Q346" s="125" t="s">
        <v>468</v>
      </c>
    </row>
    <row r="347" spans="1:17" ht="17.45" customHeight="1">
      <c r="A347" s="90"/>
      <c r="B347" s="104"/>
      <c r="C347" s="441" t="s">
        <v>391</v>
      </c>
      <c r="D347" s="236">
        <v>300</v>
      </c>
      <c r="E347" s="236">
        <f t="shared" si="21"/>
        <v>300</v>
      </c>
      <c r="F347" s="443"/>
      <c r="G347" s="238">
        <f t="shared" si="23"/>
        <v>0</v>
      </c>
      <c r="H347" s="239">
        <f>+G347/D347*100</f>
        <v>0</v>
      </c>
      <c r="I347" s="143" t="s">
        <v>14</v>
      </c>
      <c r="J347" s="99">
        <v>300000</v>
      </c>
      <c r="K347" s="100" t="s">
        <v>468</v>
      </c>
      <c r="L347" s="122" t="s">
        <v>469</v>
      </c>
      <c r="M347" s="101">
        <v>1</v>
      </c>
      <c r="N347" s="101" t="s">
        <v>467</v>
      </c>
      <c r="O347" s="123" t="s">
        <v>460</v>
      </c>
      <c r="P347" s="99">
        <f t="shared" ref="P347:P352" si="26">SUM(J347*M347)</f>
        <v>300000</v>
      </c>
      <c r="Q347" s="125" t="s">
        <v>468</v>
      </c>
    </row>
    <row r="348" spans="1:17" ht="17.45" customHeight="1">
      <c r="A348" s="90"/>
      <c r="B348" s="104"/>
      <c r="C348" s="456" t="s">
        <v>367</v>
      </c>
      <c r="D348" s="236">
        <v>26032.26</v>
      </c>
      <c r="E348" s="236">
        <f t="shared" ref="E348:E353" si="27">P348/1000</f>
        <v>26032.26</v>
      </c>
      <c r="F348" s="443"/>
      <c r="G348" s="238">
        <f t="shared" ref="G348:G361" si="28">+E348-D348</f>
        <v>0</v>
      </c>
      <c r="H348" s="239">
        <f>+G348/D348*100</f>
        <v>0</v>
      </c>
      <c r="I348" s="217" t="s">
        <v>558</v>
      </c>
      <c r="J348" s="99">
        <v>8677420</v>
      </c>
      <c r="K348" s="100" t="s">
        <v>468</v>
      </c>
      <c r="L348" s="122" t="s">
        <v>469</v>
      </c>
      <c r="M348" s="101">
        <v>3</v>
      </c>
      <c r="N348" s="101" t="s">
        <v>467</v>
      </c>
      <c r="O348" s="123" t="s">
        <v>460</v>
      </c>
      <c r="P348" s="99">
        <f t="shared" si="26"/>
        <v>26032260</v>
      </c>
      <c r="Q348" s="125" t="s">
        <v>468</v>
      </c>
    </row>
    <row r="349" spans="1:17" ht="17.45" customHeight="1">
      <c r="A349" s="281" t="s">
        <v>475</v>
      </c>
      <c r="B349" s="91" t="s">
        <v>475</v>
      </c>
      <c r="C349" s="450" t="s">
        <v>396</v>
      </c>
      <c r="D349" s="448">
        <v>1200</v>
      </c>
      <c r="E349" s="448">
        <f t="shared" si="27"/>
        <v>1200</v>
      </c>
      <c r="F349" s="449"/>
      <c r="G349" s="299">
        <f t="shared" si="28"/>
        <v>0</v>
      </c>
      <c r="H349" s="300">
        <f>+G349/D349*100</f>
        <v>0</v>
      </c>
      <c r="I349" s="143" t="s">
        <v>14</v>
      </c>
      <c r="J349" s="99">
        <v>1200000</v>
      </c>
      <c r="K349" s="100" t="s">
        <v>468</v>
      </c>
      <c r="L349" s="122" t="s">
        <v>469</v>
      </c>
      <c r="M349" s="101">
        <v>1</v>
      </c>
      <c r="N349" s="101" t="s">
        <v>467</v>
      </c>
      <c r="O349" s="123" t="s">
        <v>460</v>
      </c>
      <c r="P349" s="99">
        <f t="shared" si="26"/>
        <v>1200000</v>
      </c>
      <c r="Q349" s="125" t="s">
        <v>468</v>
      </c>
    </row>
    <row r="350" spans="1:17" ht="17.45" customHeight="1">
      <c r="A350" s="281"/>
      <c r="B350" s="91"/>
      <c r="C350" s="450" t="s">
        <v>411</v>
      </c>
      <c r="D350" s="448">
        <v>300</v>
      </c>
      <c r="E350" s="448">
        <f t="shared" si="27"/>
        <v>1540</v>
      </c>
      <c r="F350" s="449"/>
      <c r="G350" s="299">
        <f t="shared" si="28"/>
        <v>1240</v>
      </c>
      <c r="H350" s="300">
        <f>+G350/D350*100</f>
        <v>413.33333333333337</v>
      </c>
      <c r="I350" s="143" t="s">
        <v>236</v>
      </c>
      <c r="J350" s="99">
        <v>770000</v>
      </c>
      <c r="K350" s="100" t="s">
        <v>468</v>
      </c>
      <c r="L350" s="122" t="s">
        <v>469</v>
      </c>
      <c r="M350" s="101">
        <v>2</v>
      </c>
      <c r="N350" s="101" t="s">
        <v>467</v>
      </c>
      <c r="O350" s="123" t="s">
        <v>460</v>
      </c>
      <c r="P350" s="99">
        <f t="shared" si="26"/>
        <v>1540000</v>
      </c>
      <c r="Q350" s="125" t="s">
        <v>468</v>
      </c>
    </row>
    <row r="351" spans="1:17" ht="17.45" customHeight="1">
      <c r="A351" s="281"/>
      <c r="B351" s="91"/>
      <c r="C351" s="460" t="s">
        <v>328</v>
      </c>
      <c r="D351" s="407">
        <v>22720.419990000002</v>
      </c>
      <c r="E351" s="448">
        <f t="shared" si="27"/>
        <v>40547.42</v>
      </c>
      <c r="F351" s="454"/>
      <c r="G351" s="299">
        <f t="shared" si="28"/>
        <v>17827.000009999996</v>
      </c>
      <c r="H351" s="300">
        <f>G351/D351*100</f>
        <v>78.462458078883401</v>
      </c>
      <c r="I351" s="217" t="s">
        <v>558</v>
      </c>
      <c r="J351" s="99">
        <v>10136855</v>
      </c>
      <c r="K351" s="100" t="s">
        <v>468</v>
      </c>
      <c r="L351" s="122" t="s">
        <v>469</v>
      </c>
      <c r="M351" s="101">
        <v>4</v>
      </c>
      <c r="N351" s="101" t="s">
        <v>467</v>
      </c>
      <c r="O351" s="123" t="s">
        <v>460</v>
      </c>
      <c r="P351" s="99">
        <f t="shared" si="26"/>
        <v>40547420</v>
      </c>
      <c r="Q351" s="125" t="s">
        <v>468</v>
      </c>
    </row>
    <row r="352" spans="1:17" ht="17.45" customHeight="1">
      <c r="A352" s="281"/>
      <c r="B352" s="91"/>
      <c r="C352" s="461" t="s">
        <v>139</v>
      </c>
      <c r="D352" s="373">
        <v>1237.6400000000001</v>
      </c>
      <c r="E352" s="236">
        <f t="shared" si="27"/>
        <v>1237.6400000000001</v>
      </c>
      <c r="F352" s="452"/>
      <c r="G352" s="238">
        <f t="shared" si="28"/>
        <v>0</v>
      </c>
      <c r="H352" s="239">
        <f>G352/D352*100</f>
        <v>0</v>
      </c>
      <c r="I352" s="143" t="s">
        <v>14</v>
      </c>
      <c r="J352" s="99">
        <v>618820</v>
      </c>
      <c r="K352" s="100" t="s">
        <v>468</v>
      </c>
      <c r="L352" s="122" t="s">
        <v>469</v>
      </c>
      <c r="M352" s="101">
        <v>2</v>
      </c>
      <c r="N352" s="101" t="s">
        <v>467</v>
      </c>
      <c r="O352" s="123" t="s">
        <v>460</v>
      </c>
      <c r="P352" s="99">
        <f t="shared" si="26"/>
        <v>1237640</v>
      </c>
      <c r="Q352" s="125" t="s">
        <v>468</v>
      </c>
    </row>
    <row r="353" spans="1:17" ht="17.45" customHeight="1">
      <c r="A353" s="90"/>
      <c r="B353" s="104"/>
      <c r="C353" s="455" t="s">
        <v>326</v>
      </c>
      <c r="D353" s="373">
        <v>29924.68</v>
      </c>
      <c r="E353" s="236">
        <f t="shared" si="27"/>
        <v>33921.68</v>
      </c>
      <c r="F353" s="452"/>
      <c r="G353" s="238">
        <f t="shared" si="28"/>
        <v>3997</v>
      </c>
      <c r="H353" s="239">
        <f t="shared" ref="H353:H358" si="29">+G353/D353*100</f>
        <v>13.356867976533081</v>
      </c>
      <c r="I353" s="217" t="s">
        <v>558</v>
      </c>
      <c r="J353" s="99">
        <v>6784336</v>
      </c>
      <c r="K353" s="100" t="s">
        <v>468</v>
      </c>
      <c r="L353" s="122" t="s">
        <v>469</v>
      </c>
      <c r="M353" s="101">
        <v>5</v>
      </c>
      <c r="N353" s="101" t="s">
        <v>467</v>
      </c>
      <c r="O353" s="123" t="s">
        <v>460</v>
      </c>
      <c r="P353" s="99">
        <f t="shared" ref="P353:P358" si="30">J353*M353</f>
        <v>33921680</v>
      </c>
      <c r="Q353" s="125" t="s">
        <v>468</v>
      </c>
    </row>
    <row r="354" spans="1:17" ht="17.45" customHeight="1">
      <c r="A354" s="90"/>
      <c r="B354" s="104"/>
      <c r="C354" s="459" t="s">
        <v>167</v>
      </c>
      <c r="D354" s="373">
        <v>1200</v>
      </c>
      <c r="E354" s="236">
        <f t="shared" ref="E354:E363" si="31">P354/1000</f>
        <v>3200</v>
      </c>
      <c r="F354" s="452"/>
      <c r="G354" s="238">
        <f t="shared" si="28"/>
        <v>2000</v>
      </c>
      <c r="H354" s="239">
        <f t="shared" si="29"/>
        <v>166.66666666666669</v>
      </c>
      <c r="I354" s="143" t="s">
        <v>236</v>
      </c>
      <c r="J354" s="99">
        <v>1600000</v>
      </c>
      <c r="K354" s="100" t="s">
        <v>468</v>
      </c>
      <c r="L354" s="122" t="s">
        <v>469</v>
      </c>
      <c r="M354" s="101">
        <v>2</v>
      </c>
      <c r="N354" s="101" t="s">
        <v>467</v>
      </c>
      <c r="O354" s="123" t="s">
        <v>460</v>
      </c>
      <c r="P354" s="99">
        <f t="shared" si="30"/>
        <v>3200000</v>
      </c>
      <c r="Q354" s="125" t="s">
        <v>468</v>
      </c>
    </row>
    <row r="355" spans="1:17" ht="17.45" customHeight="1">
      <c r="A355" s="90"/>
      <c r="B355" s="104"/>
      <c r="C355" s="459" t="s">
        <v>412</v>
      </c>
      <c r="D355" s="373">
        <v>2148.41</v>
      </c>
      <c r="E355" s="236">
        <f t="shared" si="31"/>
        <v>2148.41</v>
      </c>
      <c r="F355" s="452"/>
      <c r="G355" s="238">
        <f t="shared" si="28"/>
        <v>0</v>
      </c>
      <c r="H355" s="239">
        <f t="shared" si="29"/>
        <v>0</v>
      </c>
      <c r="I355" s="217" t="s">
        <v>14</v>
      </c>
      <c r="J355" s="99">
        <v>1074205</v>
      </c>
      <c r="K355" s="100" t="s">
        <v>468</v>
      </c>
      <c r="L355" s="122" t="s">
        <v>469</v>
      </c>
      <c r="M355" s="101">
        <v>2</v>
      </c>
      <c r="N355" s="101" t="s">
        <v>467</v>
      </c>
      <c r="O355" s="123" t="s">
        <v>460</v>
      </c>
      <c r="P355" s="99">
        <f t="shared" si="30"/>
        <v>2148410</v>
      </c>
      <c r="Q355" s="125" t="s">
        <v>468</v>
      </c>
    </row>
    <row r="356" spans="1:17" ht="17.45" customHeight="1">
      <c r="A356" s="90"/>
      <c r="B356" s="104"/>
      <c r="C356" s="459" t="s">
        <v>406</v>
      </c>
      <c r="D356" s="373">
        <v>300</v>
      </c>
      <c r="E356" s="236">
        <f t="shared" si="31"/>
        <v>300</v>
      </c>
      <c r="F356" s="452"/>
      <c r="G356" s="238">
        <f t="shared" si="28"/>
        <v>0</v>
      </c>
      <c r="H356" s="239">
        <f t="shared" si="29"/>
        <v>0</v>
      </c>
      <c r="I356" s="217" t="s">
        <v>14</v>
      </c>
      <c r="J356" s="99">
        <v>300000</v>
      </c>
      <c r="K356" s="100" t="s">
        <v>468</v>
      </c>
      <c r="L356" s="122" t="s">
        <v>469</v>
      </c>
      <c r="M356" s="101">
        <v>1</v>
      </c>
      <c r="N356" s="101" t="s">
        <v>467</v>
      </c>
      <c r="O356" s="123" t="s">
        <v>460</v>
      </c>
      <c r="P356" s="99">
        <f t="shared" si="30"/>
        <v>300000</v>
      </c>
      <c r="Q356" s="125" t="s">
        <v>468</v>
      </c>
    </row>
    <row r="357" spans="1:17" ht="17.45" customHeight="1">
      <c r="A357" s="90"/>
      <c r="B357" s="104"/>
      <c r="C357" s="441" t="s">
        <v>145</v>
      </c>
      <c r="D357" s="236">
        <v>10000</v>
      </c>
      <c r="E357" s="236">
        <f t="shared" si="31"/>
        <v>10000</v>
      </c>
      <c r="F357" s="443"/>
      <c r="G357" s="238">
        <f t="shared" si="28"/>
        <v>0</v>
      </c>
      <c r="H357" s="239">
        <f t="shared" si="29"/>
        <v>0</v>
      </c>
      <c r="I357" s="217" t="s">
        <v>14</v>
      </c>
      <c r="J357" s="99">
        <v>2500000</v>
      </c>
      <c r="K357" s="100" t="s">
        <v>468</v>
      </c>
      <c r="L357" s="122" t="s">
        <v>469</v>
      </c>
      <c r="M357" s="101">
        <v>4</v>
      </c>
      <c r="N357" s="101" t="s">
        <v>467</v>
      </c>
      <c r="O357" s="123" t="s">
        <v>460</v>
      </c>
      <c r="P357" s="99">
        <f t="shared" si="30"/>
        <v>10000000</v>
      </c>
      <c r="Q357" s="125" t="s">
        <v>468</v>
      </c>
    </row>
    <row r="358" spans="1:17" ht="17.45" customHeight="1">
      <c r="A358" s="90"/>
      <c r="B358" s="104"/>
      <c r="C358" s="450" t="s">
        <v>415</v>
      </c>
      <c r="D358" s="448">
        <v>5000</v>
      </c>
      <c r="E358" s="448">
        <f t="shared" si="31"/>
        <v>5000</v>
      </c>
      <c r="F358" s="449"/>
      <c r="G358" s="299">
        <f t="shared" si="28"/>
        <v>0</v>
      </c>
      <c r="H358" s="300">
        <f t="shared" si="29"/>
        <v>0</v>
      </c>
      <c r="I358" s="143" t="s">
        <v>14</v>
      </c>
      <c r="J358" s="99">
        <v>5000000</v>
      </c>
      <c r="K358" s="100" t="s">
        <v>468</v>
      </c>
      <c r="L358" s="122" t="s">
        <v>469</v>
      </c>
      <c r="M358" s="101">
        <v>1</v>
      </c>
      <c r="N358" s="101" t="s">
        <v>467</v>
      </c>
      <c r="O358" s="123" t="s">
        <v>460</v>
      </c>
      <c r="P358" s="99">
        <f t="shared" si="30"/>
        <v>5000000</v>
      </c>
      <c r="Q358" s="125" t="s">
        <v>468</v>
      </c>
    </row>
    <row r="359" spans="1:17" ht="17.45" customHeight="1">
      <c r="A359" s="281"/>
      <c r="B359" s="91"/>
      <c r="C359" s="453" t="s">
        <v>118</v>
      </c>
      <c r="D359" s="407">
        <v>39599.739990000002</v>
      </c>
      <c r="E359" s="448">
        <f t="shared" si="31"/>
        <v>57364.74</v>
      </c>
      <c r="F359" s="454"/>
      <c r="G359" s="299">
        <f t="shared" si="28"/>
        <v>17765.000009999996</v>
      </c>
      <c r="H359" s="300">
        <f>G359/D359*100</f>
        <v>44.861405692275092</v>
      </c>
      <c r="I359" s="217" t="s">
        <v>558</v>
      </c>
      <c r="J359" s="99">
        <v>14341185</v>
      </c>
      <c r="K359" s="100" t="s">
        <v>468</v>
      </c>
      <c r="L359" s="122" t="s">
        <v>469</v>
      </c>
      <c r="M359" s="101">
        <v>4</v>
      </c>
      <c r="N359" s="101" t="s">
        <v>467</v>
      </c>
      <c r="O359" s="123" t="s">
        <v>460</v>
      </c>
      <c r="P359" s="99">
        <f t="shared" ref="P359:P374" si="32">SUM(J359*M359)</f>
        <v>57364740</v>
      </c>
      <c r="Q359" s="125" t="s">
        <v>468</v>
      </c>
    </row>
    <row r="360" spans="1:17" ht="17.45" customHeight="1">
      <c r="A360" s="90"/>
      <c r="B360" s="104"/>
      <c r="C360" s="451" t="s">
        <v>147</v>
      </c>
      <c r="D360" s="373">
        <v>300</v>
      </c>
      <c r="E360" s="236">
        <f t="shared" si="31"/>
        <v>300</v>
      </c>
      <c r="F360" s="452"/>
      <c r="G360" s="238">
        <f t="shared" si="28"/>
        <v>0</v>
      </c>
      <c r="H360" s="239">
        <f>G360/D360*100</f>
        <v>0</v>
      </c>
      <c r="I360" s="143" t="s">
        <v>14</v>
      </c>
      <c r="J360" s="99">
        <v>300000</v>
      </c>
      <c r="K360" s="100" t="s">
        <v>468</v>
      </c>
      <c r="L360" s="122" t="s">
        <v>469</v>
      </c>
      <c r="M360" s="101">
        <v>1</v>
      </c>
      <c r="N360" s="101" t="s">
        <v>467</v>
      </c>
      <c r="O360" s="123" t="s">
        <v>460</v>
      </c>
      <c r="P360" s="99">
        <f t="shared" si="32"/>
        <v>300000</v>
      </c>
      <c r="Q360" s="125" t="s">
        <v>468</v>
      </c>
    </row>
    <row r="361" spans="1:17" ht="17.45" customHeight="1">
      <c r="A361" s="90"/>
      <c r="B361" s="104"/>
      <c r="C361" s="451" t="s">
        <v>184</v>
      </c>
      <c r="D361" s="373">
        <v>2460</v>
      </c>
      <c r="E361" s="236">
        <f t="shared" si="31"/>
        <v>2460</v>
      </c>
      <c r="F361" s="452"/>
      <c r="G361" s="238">
        <f t="shared" si="28"/>
        <v>0</v>
      </c>
      <c r="H361" s="239">
        <f>G361/D361*100</f>
        <v>0</v>
      </c>
      <c r="I361" s="143" t="s">
        <v>236</v>
      </c>
      <c r="J361" s="99">
        <v>1230000</v>
      </c>
      <c r="K361" s="100" t="s">
        <v>468</v>
      </c>
      <c r="L361" s="122" t="s">
        <v>469</v>
      </c>
      <c r="M361" s="101">
        <v>2</v>
      </c>
      <c r="N361" s="101" t="s">
        <v>467</v>
      </c>
      <c r="O361" s="123" t="s">
        <v>460</v>
      </c>
      <c r="P361" s="99">
        <f t="shared" si="32"/>
        <v>2460000</v>
      </c>
      <c r="Q361" s="125" t="s">
        <v>468</v>
      </c>
    </row>
    <row r="362" spans="1:17" ht="17.45" customHeight="1">
      <c r="A362" s="90"/>
      <c r="B362" s="104"/>
      <c r="C362" s="451" t="s">
        <v>159</v>
      </c>
      <c r="D362" s="373">
        <v>1800</v>
      </c>
      <c r="E362" s="236">
        <f t="shared" si="31"/>
        <v>11010</v>
      </c>
      <c r="F362" s="452"/>
      <c r="G362" s="238">
        <f t="shared" ref="G362:G374" si="33">+E362-D362</f>
        <v>9210</v>
      </c>
      <c r="H362" s="239">
        <f>G362/D362*100</f>
        <v>511.66666666666663</v>
      </c>
      <c r="I362" s="143" t="s">
        <v>236</v>
      </c>
      <c r="J362" s="99">
        <v>5505000</v>
      </c>
      <c r="K362" s="100" t="s">
        <v>468</v>
      </c>
      <c r="L362" s="122" t="s">
        <v>469</v>
      </c>
      <c r="M362" s="101">
        <v>2</v>
      </c>
      <c r="N362" s="101" t="s">
        <v>467</v>
      </c>
      <c r="O362" s="123" t="s">
        <v>460</v>
      </c>
      <c r="P362" s="99">
        <f t="shared" si="32"/>
        <v>11010000</v>
      </c>
      <c r="Q362" s="125" t="s">
        <v>468</v>
      </c>
    </row>
    <row r="363" spans="1:17" ht="17.45" customHeight="1">
      <c r="A363" s="90"/>
      <c r="B363" s="104"/>
      <c r="C363" s="451" t="s">
        <v>148</v>
      </c>
      <c r="D363" s="373">
        <v>300</v>
      </c>
      <c r="E363" s="236">
        <f t="shared" si="31"/>
        <v>300</v>
      </c>
      <c r="F363" s="452"/>
      <c r="G363" s="238">
        <f t="shared" si="33"/>
        <v>0</v>
      </c>
      <c r="H363" s="239">
        <f>G363/D363*100</f>
        <v>0</v>
      </c>
      <c r="I363" s="143" t="s">
        <v>14</v>
      </c>
      <c r="J363" s="99">
        <v>300000</v>
      </c>
      <c r="K363" s="100" t="s">
        <v>468</v>
      </c>
      <c r="L363" s="122" t="s">
        <v>469</v>
      </c>
      <c r="M363" s="101">
        <v>1</v>
      </c>
      <c r="N363" s="101" t="s">
        <v>467</v>
      </c>
      <c r="O363" s="123" t="s">
        <v>460</v>
      </c>
      <c r="P363" s="99">
        <f t="shared" si="32"/>
        <v>300000</v>
      </c>
      <c r="Q363" s="125" t="s">
        <v>468</v>
      </c>
    </row>
    <row r="364" spans="1:17" ht="17.45" customHeight="1">
      <c r="A364" s="90"/>
      <c r="B364" s="104"/>
      <c r="C364" s="459" t="s">
        <v>548</v>
      </c>
      <c r="D364" s="373">
        <v>34000</v>
      </c>
      <c r="E364" s="236">
        <f t="shared" ref="E364:E374" si="34">P364/1000</f>
        <v>34000</v>
      </c>
      <c r="F364" s="452"/>
      <c r="G364" s="238">
        <f t="shared" si="33"/>
        <v>0</v>
      </c>
      <c r="H364" s="239">
        <f t="shared" ref="H364:H370" si="35">+G364/D364*100</f>
        <v>0</v>
      </c>
      <c r="I364" s="143" t="s">
        <v>14</v>
      </c>
      <c r="J364" s="99">
        <v>6800000</v>
      </c>
      <c r="K364" s="100" t="s">
        <v>468</v>
      </c>
      <c r="L364" s="122" t="s">
        <v>469</v>
      </c>
      <c r="M364" s="101">
        <v>5</v>
      </c>
      <c r="N364" s="101" t="s">
        <v>467</v>
      </c>
      <c r="O364" s="123" t="s">
        <v>460</v>
      </c>
      <c r="P364" s="99">
        <f t="shared" si="32"/>
        <v>34000000</v>
      </c>
      <c r="Q364" s="125" t="s">
        <v>468</v>
      </c>
    </row>
    <row r="365" spans="1:17" ht="17.45" customHeight="1">
      <c r="A365" s="90"/>
      <c r="B365" s="104"/>
      <c r="C365" s="459" t="s">
        <v>401</v>
      </c>
      <c r="D365" s="373">
        <v>300</v>
      </c>
      <c r="E365" s="236">
        <f t="shared" si="34"/>
        <v>300</v>
      </c>
      <c r="F365" s="452"/>
      <c r="G365" s="238">
        <f t="shared" si="33"/>
        <v>0</v>
      </c>
      <c r="H365" s="239">
        <f t="shared" si="35"/>
        <v>0</v>
      </c>
      <c r="I365" s="143" t="s">
        <v>14</v>
      </c>
      <c r="J365" s="99">
        <v>300000</v>
      </c>
      <c r="K365" s="100" t="s">
        <v>468</v>
      </c>
      <c r="L365" s="122" t="s">
        <v>469</v>
      </c>
      <c r="M365" s="101">
        <v>1</v>
      </c>
      <c r="N365" s="101" t="s">
        <v>467</v>
      </c>
      <c r="O365" s="123" t="s">
        <v>460</v>
      </c>
      <c r="P365" s="99">
        <f t="shared" si="32"/>
        <v>300000</v>
      </c>
      <c r="Q365" s="125" t="s">
        <v>468</v>
      </c>
    </row>
    <row r="366" spans="1:17" ht="17.45" customHeight="1">
      <c r="A366" s="90"/>
      <c r="B366" s="104"/>
      <c r="C366" s="455" t="s">
        <v>563</v>
      </c>
      <c r="D366" s="373">
        <v>0</v>
      </c>
      <c r="E366" s="236">
        <f t="shared" si="34"/>
        <v>5000</v>
      </c>
      <c r="F366" s="452"/>
      <c r="G366" s="238">
        <f t="shared" si="33"/>
        <v>5000</v>
      </c>
      <c r="H366" s="462" t="s">
        <v>564</v>
      </c>
      <c r="I366" s="143" t="s">
        <v>14</v>
      </c>
      <c r="J366" s="99">
        <v>1250000</v>
      </c>
      <c r="K366" s="100" t="s">
        <v>468</v>
      </c>
      <c r="L366" s="122" t="s">
        <v>469</v>
      </c>
      <c r="M366" s="101">
        <v>4</v>
      </c>
      <c r="N366" s="101" t="s">
        <v>467</v>
      </c>
      <c r="O366" s="123" t="s">
        <v>460</v>
      </c>
      <c r="P366" s="99">
        <f t="shared" ref="P366" si="36">SUM(J366*M366)</f>
        <v>5000000</v>
      </c>
      <c r="Q366" s="125" t="s">
        <v>468</v>
      </c>
    </row>
    <row r="367" spans="1:17" ht="17.45" customHeight="1">
      <c r="A367" s="90"/>
      <c r="B367" s="104"/>
      <c r="C367" s="459" t="s">
        <v>405</v>
      </c>
      <c r="D367" s="373">
        <v>44469.120000000003</v>
      </c>
      <c r="E367" s="236">
        <f t="shared" si="34"/>
        <v>44469.120000000003</v>
      </c>
      <c r="F367" s="452"/>
      <c r="G367" s="238">
        <f t="shared" si="33"/>
        <v>0</v>
      </c>
      <c r="H367" s="239">
        <f t="shared" si="35"/>
        <v>0</v>
      </c>
      <c r="I367" s="143" t="s">
        <v>379</v>
      </c>
      <c r="J367" s="99">
        <v>44469120</v>
      </c>
      <c r="K367" s="100" t="s">
        <v>468</v>
      </c>
      <c r="L367" s="122" t="s">
        <v>469</v>
      </c>
      <c r="M367" s="101">
        <v>1</v>
      </c>
      <c r="N367" s="101" t="s">
        <v>467</v>
      </c>
      <c r="O367" s="123" t="s">
        <v>460</v>
      </c>
      <c r="P367" s="99">
        <f t="shared" si="32"/>
        <v>44469120</v>
      </c>
      <c r="Q367" s="125" t="s">
        <v>468</v>
      </c>
    </row>
    <row r="368" spans="1:17" ht="17.45" customHeight="1">
      <c r="A368" s="281"/>
      <c r="B368" s="91"/>
      <c r="C368" s="455" t="s">
        <v>414</v>
      </c>
      <c r="D368" s="373">
        <v>70000</v>
      </c>
      <c r="E368" s="236">
        <f t="shared" si="34"/>
        <v>70000</v>
      </c>
      <c r="F368" s="452"/>
      <c r="G368" s="238">
        <f t="shared" si="33"/>
        <v>0</v>
      </c>
      <c r="H368" s="239">
        <f t="shared" si="35"/>
        <v>0</v>
      </c>
      <c r="I368" s="143" t="s">
        <v>14</v>
      </c>
      <c r="J368" s="99">
        <v>17500000</v>
      </c>
      <c r="K368" s="100" t="s">
        <v>468</v>
      </c>
      <c r="L368" s="122" t="s">
        <v>469</v>
      </c>
      <c r="M368" s="101">
        <v>4</v>
      </c>
      <c r="N368" s="101" t="s">
        <v>467</v>
      </c>
      <c r="O368" s="123" t="s">
        <v>460</v>
      </c>
      <c r="P368" s="99">
        <f t="shared" si="32"/>
        <v>70000000</v>
      </c>
      <c r="Q368" s="125" t="s">
        <v>468</v>
      </c>
    </row>
    <row r="369" spans="1:17" ht="17.45" customHeight="1">
      <c r="A369" s="90"/>
      <c r="B369" s="104"/>
      <c r="C369" s="459" t="s">
        <v>117</v>
      </c>
      <c r="D369" s="373">
        <v>900</v>
      </c>
      <c r="E369" s="236">
        <f t="shared" si="34"/>
        <v>900</v>
      </c>
      <c r="F369" s="452"/>
      <c r="G369" s="238">
        <f t="shared" si="33"/>
        <v>0</v>
      </c>
      <c r="H369" s="239">
        <f t="shared" si="35"/>
        <v>0</v>
      </c>
      <c r="I369" s="143" t="s">
        <v>14</v>
      </c>
      <c r="J369" s="99">
        <v>900000</v>
      </c>
      <c r="K369" s="100" t="s">
        <v>468</v>
      </c>
      <c r="L369" s="122" t="s">
        <v>469</v>
      </c>
      <c r="M369" s="101">
        <v>1</v>
      </c>
      <c r="N369" s="101" t="s">
        <v>467</v>
      </c>
      <c r="O369" s="123" t="s">
        <v>460</v>
      </c>
      <c r="P369" s="99">
        <f t="shared" si="32"/>
        <v>900000</v>
      </c>
      <c r="Q369" s="125" t="s">
        <v>468</v>
      </c>
    </row>
    <row r="370" spans="1:17" ht="17.45" customHeight="1">
      <c r="A370" s="90"/>
      <c r="B370" s="104"/>
      <c r="C370" s="459" t="s">
        <v>409</v>
      </c>
      <c r="D370" s="373">
        <v>300</v>
      </c>
      <c r="E370" s="236">
        <f t="shared" si="34"/>
        <v>300</v>
      </c>
      <c r="F370" s="452"/>
      <c r="G370" s="238">
        <f t="shared" si="33"/>
        <v>0</v>
      </c>
      <c r="H370" s="239">
        <f t="shared" si="35"/>
        <v>0</v>
      </c>
      <c r="I370" s="143" t="s">
        <v>14</v>
      </c>
      <c r="J370" s="99">
        <v>300000</v>
      </c>
      <c r="K370" s="100" t="s">
        <v>468</v>
      </c>
      <c r="L370" s="122" t="s">
        <v>469</v>
      </c>
      <c r="M370" s="101">
        <v>1</v>
      </c>
      <c r="N370" s="101" t="s">
        <v>467</v>
      </c>
      <c r="O370" s="123" t="s">
        <v>460</v>
      </c>
      <c r="P370" s="99">
        <f t="shared" si="32"/>
        <v>300000</v>
      </c>
      <c r="Q370" s="125" t="s">
        <v>468</v>
      </c>
    </row>
    <row r="371" spans="1:17" ht="17.45" customHeight="1">
      <c r="A371" s="90"/>
      <c r="B371" s="104"/>
      <c r="C371" s="455" t="s">
        <v>408</v>
      </c>
      <c r="D371" s="373">
        <v>2300</v>
      </c>
      <c r="E371" s="236">
        <f t="shared" si="34"/>
        <v>4003.2</v>
      </c>
      <c r="F371" s="452"/>
      <c r="G371" s="238">
        <f t="shared" si="33"/>
        <v>1703.1999999999998</v>
      </c>
      <c r="H371" s="239">
        <f>G371/D371*100</f>
        <v>74.052173913043475</v>
      </c>
      <c r="I371" s="143" t="s">
        <v>236</v>
      </c>
      <c r="J371" s="99">
        <v>1334400</v>
      </c>
      <c r="K371" s="100" t="s">
        <v>468</v>
      </c>
      <c r="L371" s="122" t="s">
        <v>469</v>
      </c>
      <c r="M371" s="101">
        <v>3</v>
      </c>
      <c r="N371" s="101" t="s">
        <v>467</v>
      </c>
      <c r="O371" s="123" t="s">
        <v>460</v>
      </c>
      <c r="P371" s="99">
        <f t="shared" si="32"/>
        <v>4003200</v>
      </c>
      <c r="Q371" s="125" t="s">
        <v>468</v>
      </c>
    </row>
    <row r="372" spans="1:17" ht="17.45" customHeight="1">
      <c r="A372" s="90"/>
      <c r="B372" s="104"/>
      <c r="C372" s="441" t="s">
        <v>392</v>
      </c>
      <c r="D372" s="373">
        <v>1800</v>
      </c>
      <c r="E372" s="236">
        <f t="shared" si="34"/>
        <v>1800</v>
      </c>
      <c r="F372" s="452"/>
      <c r="G372" s="238">
        <f t="shared" si="33"/>
        <v>0</v>
      </c>
      <c r="H372" s="239">
        <f>G372/D372*100</f>
        <v>0</v>
      </c>
      <c r="I372" s="143" t="s">
        <v>14</v>
      </c>
      <c r="J372" s="99">
        <v>1800000</v>
      </c>
      <c r="K372" s="100" t="s">
        <v>468</v>
      </c>
      <c r="L372" s="122" t="s">
        <v>469</v>
      </c>
      <c r="M372" s="101">
        <v>1</v>
      </c>
      <c r="N372" s="101" t="s">
        <v>467</v>
      </c>
      <c r="O372" s="123" t="s">
        <v>460</v>
      </c>
      <c r="P372" s="99">
        <f t="shared" si="32"/>
        <v>1800000</v>
      </c>
      <c r="Q372" s="125" t="s">
        <v>468</v>
      </c>
    </row>
    <row r="373" spans="1:17" ht="17.45" customHeight="1">
      <c r="A373" s="90"/>
      <c r="B373" s="104"/>
      <c r="C373" s="441" t="s">
        <v>416</v>
      </c>
      <c r="D373" s="373">
        <v>4100</v>
      </c>
      <c r="E373" s="236">
        <f t="shared" si="34"/>
        <v>4100</v>
      </c>
      <c r="F373" s="452"/>
      <c r="G373" s="238">
        <f t="shared" si="33"/>
        <v>0</v>
      </c>
      <c r="H373" s="239">
        <f>G373/D373*100</f>
        <v>0</v>
      </c>
      <c r="I373" s="143" t="s">
        <v>236</v>
      </c>
      <c r="J373" s="99">
        <v>2050000</v>
      </c>
      <c r="K373" s="100" t="s">
        <v>468</v>
      </c>
      <c r="L373" s="122" t="s">
        <v>469</v>
      </c>
      <c r="M373" s="101">
        <v>2</v>
      </c>
      <c r="N373" s="101" t="s">
        <v>467</v>
      </c>
      <c r="O373" s="123" t="s">
        <v>460</v>
      </c>
      <c r="P373" s="99">
        <f t="shared" si="32"/>
        <v>4100000</v>
      </c>
      <c r="Q373" s="125" t="s">
        <v>468</v>
      </c>
    </row>
    <row r="374" spans="1:17" ht="17.45" customHeight="1">
      <c r="A374" s="90"/>
      <c r="B374" s="104"/>
      <c r="C374" s="459" t="s">
        <v>403</v>
      </c>
      <c r="D374" s="373">
        <v>300</v>
      </c>
      <c r="E374" s="236">
        <f t="shared" si="34"/>
        <v>300</v>
      </c>
      <c r="F374" s="452"/>
      <c r="G374" s="238">
        <f t="shared" si="33"/>
        <v>0</v>
      </c>
      <c r="H374" s="239">
        <f>G374/D374*100</f>
        <v>0</v>
      </c>
      <c r="I374" s="143" t="s">
        <v>14</v>
      </c>
      <c r="J374" s="99">
        <v>300000</v>
      </c>
      <c r="K374" s="100" t="s">
        <v>468</v>
      </c>
      <c r="L374" s="122" t="s">
        <v>469</v>
      </c>
      <c r="M374" s="101">
        <v>1</v>
      </c>
      <c r="N374" s="101" t="s">
        <v>467</v>
      </c>
      <c r="O374" s="123" t="s">
        <v>460</v>
      </c>
      <c r="P374" s="99">
        <f t="shared" si="32"/>
        <v>300000</v>
      </c>
      <c r="Q374" s="125" t="s">
        <v>468</v>
      </c>
    </row>
    <row r="375" spans="1:17" ht="17.45" customHeight="1">
      <c r="A375" s="90"/>
      <c r="B375" s="104"/>
      <c r="C375" s="451" t="s">
        <v>121</v>
      </c>
      <c r="D375" s="373">
        <v>5800</v>
      </c>
      <c r="E375" s="236">
        <f t="shared" ref="E375:E382" si="37">P375/1000</f>
        <v>5800</v>
      </c>
      <c r="F375" s="452"/>
      <c r="G375" s="238">
        <f t="shared" ref="G375:G383" si="38">+E375-D375</f>
        <v>0</v>
      </c>
      <c r="H375" s="239">
        <f t="shared" ref="H375:H382" si="39">+G375/D375*100</f>
        <v>0</v>
      </c>
      <c r="I375" s="143" t="s">
        <v>236</v>
      </c>
      <c r="J375" s="99">
        <v>2900000</v>
      </c>
      <c r="K375" s="100" t="s">
        <v>468</v>
      </c>
      <c r="L375" s="122" t="s">
        <v>469</v>
      </c>
      <c r="M375" s="101">
        <v>2</v>
      </c>
      <c r="N375" s="101" t="s">
        <v>467</v>
      </c>
      <c r="O375" s="123" t="s">
        <v>460</v>
      </c>
      <c r="P375" s="99">
        <f t="shared" ref="P375:P382" si="40">SUM(J375*M375)</f>
        <v>5800000</v>
      </c>
      <c r="Q375" s="125" t="s">
        <v>468</v>
      </c>
    </row>
    <row r="376" spans="1:17" ht="17.45" customHeight="1">
      <c r="A376" s="90"/>
      <c r="B376" s="104"/>
      <c r="C376" s="451" t="s">
        <v>140</v>
      </c>
      <c r="D376" s="373">
        <v>5342.87</v>
      </c>
      <c r="E376" s="236">
        <f t="shared" si="37"/>
        <v>7342.8699900000001</v>
      </c>
      <c r="F376" s="452"/>
      <c r="G376" s="238">
        <f t="shared" si="38"/>
        <v>1999.9999900000003</v>
      </c>
      <c r="H376" s="239">
        <f t="shared" si="39"/>
        <v>37.433064813480399</v>
      </c>
      <c r="I376" s="143" t="s">
        <v>236</v>
      </c>
      <c r="J376" s="99">
        <v>2447623.33</v>
      </c>
      <c r="K376" s="100" t="s">
        <v>468</v>
      </c>
      <c r="L376" s="122" t="s">
        <v>469</v>
      </c>
      <c r="M376" s="101">
        <v>3</v>
      </c>
      <c r="N376" s="101" t="s">
        <v>467</v>
      </c>
      <c r="O376" s="123" t="s">
        <v>460</v>
      </c>
      <c r="P376" s="99">
        <f t="shared" si="40"/>
        <v>7342869.9900000002</v>
      </c>
      <c r="Q376" s="125" t="s">
        <v>468</v>
      </c>
    </row>
    <row r="377" spans="1:17" ht="17.45" customHeight="1">
      <c r="A377" s="90"/>
      <c r="B377" s="104"/>
      <c r="C377" s="445" t="s">
        <v>362</v>
      </c>
      <c r="D377" s="236">
        <v>12300</v>
      </c>
      <c r="E377" s="236">
        <f t="shared" si="37"/>
        <v>12300</v>
      </c>
      <c r="F377" s="443"/>
      <c r="G377" s="238">
        <f t="shared" si="38"/>
        <v>0</v>
      </c>
      <c r="H377" s="239">
        <f t="shared" si="39"/>
        <v>0</v>
      </c>
      <c r="I377" s="143" t="s">
        <v>236</v>
      </c>
      <c r="J377" s="99">
        <v>2460000</v>
      </c>
      <c r="K377" s="100" t="s">
        <v>468</v>
      </c>
      <c r="L377" s="122" t="s">
        <v>469</v>
      </c>
      <c r="M377" s="101">
        <v>5</v>
      </c>
      <c r="N377" s="101" t="s">
        <v>467</v>
      </c>
      <c r="O377" s="123" t="s">
        <v>460</v>
      </c>
      <c r="P377" s="99">
        <f t="shared" si="40"/>
        <v>12300000</v>
      </c>
      <c r="Q377" s="125" t="s">
        <v>468</v>
      </c>
    </row>
    <row r="378" spans="1:17" ht="17.45" customHeight="1">
      <c r="A378" s="90"/>
      <c r="B378" s="104"/>
      <c r="C378" s="445" t="s">
        <v>183</v>
      </c>
      <c r="D378" s="236">
        <v>6600</v>
      </c>
      <c r="E378" s="236">
        <f t="shared" si="37"/>
        <v>9600</v>
      </c>
      <c r="F378" s="452"/>
      <c r="G378" s="238">
        <f t="shared" si="38"/>
        <v>3000</v>
      </c>
      <c r="H378" s="239">
        <f t="shared" si="39"/>
        <v>45.454545454545453</v>
      </c>
      <c r="I378" s="143" t="s">
        <v>236</v>
      </c>
      <c r="J378" s="99">
        <v>3200000</v>
      </c>
      <c r="K378" s="100" t="s">
        <v>468</v>
      </c>
      <c r="L378" s="122" t="s">
        <v>469</v>
      </c>
      <c r="M378" s="101">
        <v>3</v>
      </c>
      <c r="N378" s="101" t="s">
        <v>467</v>
      </c>
      <c r="O378" s="123" t="s">
        <v>460</v>
      </c>
      <c r="P378" s="99">
        <f t="shared" si="40"/>
        <v>9600000</v>
      </c>
      <c r="Q378" s="125" t="s">
        <v>468</v>
      </c>
    </row>
    <row r="379" spans="1:17" ht="17.45" customHeight="1">
      <c r="A379" s="90"/>
      <c r="B379" s="104"/>
      <c r="C379" s="444" t="s">
        <v>164</v>
      </c>
      <c r="D379" s="236">
        <v>2500</v>
      </c>
      <c r="E379" s="236">
        <f>P379/1000</f>
        <v>2500</v>
      </c>
      <c r="F379" s="443"/>
      <c r="G379" s="238">
        <f>+E379-D379</f>
        <v>0</v>
      </c>
      <c r="H379" s="239">
        <f>+G379/D379*100</f>
        <v>0</v>
      </c>
      <c r="I379" s="143" t="s">
        <v>14</v>
      </c>
      <c r="J379" s="99">
        <v>1250000</v>
      </c>
      <c r="K379" s="100" t="s">
        <v>468</v>
      </c>
      <c r="L379" s="122" t="s">
        <v>469</v>
      </c>
      <c r="M379" s="101">
        <v>2</v>
      </c>
      <c r="N379" s="101" t="s">
        <v>467</v>
      </c>
      <c r="O379" s="123" t="s">
        <v>460</v>
      </c>
      <c r="P379" s="99">
        <f>SUM(J379*M379)</f>
        <v>2500000</v>
      </c>
      <c r="Q379" s="125" t="s">
        <v>468</v>
      </c>
    </row>
    <row r="380" spans="1:17" ht="17.45" customHeight="1">
      <c r="A380" s="90"/>
      <c r="B380" s="104"/>
      <c r="C380" s="444" t="s">
        <v>152</v>
      </c>
      <c r="D380" s="236">
        <v>58619.152000000002</v>
      </c>
      <c r="E380" s="236">
        <f>P380/1000</f>
        <v>58619.152000000002</v>
      </c>
      <c r="F380" s="443"/>
      <c r="G380" s="238">
        <f>+E380-D380</f>
        <v>0</v>
      </c>
      <c r="H380" s="239">
        <f>+G380/D380*100</f>
        <v>0</v>
      </c>
      <c r="I380" s="143" t="s">
        <v>14</v>
      </c>
      <c r="J380" s="99">
        <v>29309576</v>
      </c>
      <c r="K380" s="100" t="s">
        <v>468</v>
      </c>
      <c r="L380" s="122" t="s">
        <v>469</v>
      </c>
      <c r="M380" s="101">
        <v>2</v>
      </c>
      <c r="N380" s="101" t="s">
        <v>467</v>
      </c>
      <c r="O380" s="123" t="s">
        <v>460</v>
      </c>
      <c r="P380" s="99">
        <f>SUM(J380*M380)</f>
        <v>58619152</v>
      </c>
      <c r="Q380" s="125" t="s">
        <v>468</v>
      </c>
    </row>
    <row r="381" spans="1:17" ht="17.45" customHeight="1">
      <c r="A381" s="281" t="s">
        <v>475</v>
      </c>
      <c r="B381" s="91" t="s">
        <v>475</v>
      </c>
      <c r="C381" s="441" t="s">
        <v>62</v>
      </c>
      <c r="D381" s="236">
        <v>15000</v>
      </c>
      <c r="E381" s="236">
        <f t="shared" si="37"/>
        <v>15000</v>
      </c>
      <c r="F381" s="443"/>
      <c r="G381" s="238">
        <f t="shared" si="38"/>
        <v>0</v>
      </c>
      <c r="H381" s="239">
        <f t="shared" si="39"/>
        <v>0</v>
      </c>
      <c r="I381" s="143" t="s">
        <v>14</v>
      </c>
      <c r="J381" s="99">
        <v>3750000</v>
      </c>
      <c r="K381" s="100" t="s">
        <v>468</v>
      </c>
      <c r="L381" s="122" t="s">
        <v>469</v>
      </c>
      <c r="M381" s="101">
        <v>4</v>
      </c>
      <c r="N381" s="101" t="s">
        <v>467</v>
      </c>
      <c r="O381" s="123" t="s">
        <v>460</v>
      </c>
      <c r="P381" s="99">
        <f t="shared" si="40"/>
        <v>15000000</v>
      </c>
      <c r="Q381" s="125" t="s">
        <v>468</v>
      </c>
    </row>
    <row r="382" spans="1:17" ht="17.45" customHeight="1">
      <c r="A382" s="281"/>
      <c r="B382" s="91"/>
      <c r="C382" s="444" t="s">
        <v>378</v>
      </c>
      <c r="D382" s="236">
        <v>110000</v>
      </c>
      <c r="E382" s="236">
        <f t="shared" si="37"/>
        <v>110000</v>
      </c>
      <c r="F382" s="443"/>
      <c r="G382" s="238">
        <f t="shared" si="38"/>
        <v>0</v>
      </c>
      <c r="H382" s="239">
        <f t="shared" si="39"/>
        <v>0</v>
      </c>
      <c r="I382" s="158" t="s">
        <v>141</v>
      </c>
      <c r="J382" s="159">
        <v>110000000</v>
      </c>
      <c r="K382" s="100" t="s">
        <v>468</v>
      </c>
      <c r="L382" s="122" t="s">
        <v>469</v>
      </c>
      <c r="M382" s="163">
        <v>1</v>
      </c>
      <c r="N382" s="163" t="s">
        <v>467</v>
      </c>
      <c r="O382" s="123" t="s">
        <v>460</v>
      </c>
      <c r="P382" s="159">
        <f t="shared" si="40"/>
        <v>110000000</v>
      </c>
      <c r="Q382" s="164" t="s">
        <v>468</v>
      </c>
    </row>
    <row r="383" spans="1:17" ht="21.75" customHeight="1">
      <c r="A383" s="434" t="s">
        <v>489</v>
      </c>
      <c r="B383" s="430" t="s">
        <v>484</v>
      </c>
      <c r="C383" s="463"/>
      <c r="D383" s="464">
        <f>SUM(D384:D390)</f>
        <v>4568171</v>
      </c>
      <c r="E383" s="465">
        <f>SUM(E384:E390)</f>
        <v>4399978.7560000001</v>
      </c>
      <c r="F383" s="465">
        <f>SUM(F385:F387)</f>
        <v>0</v>
      </c>
      <c r="G383" s="466">
        <f t="shared" si="38"/>
        <v>-168192.24399999995</v>
      </c>
      <c r="H383" s="467">
        <f>+G383/D383*100</f>
        <v>-3.681828985823866</v>
      </c>
      <c r="I383" s="171"/>
      <c r="J383" s="111"/>
      <c r="K383" s="112"/>
      <c r="L383" s="113"/>
      <c r="M383" s="113" t="s">
        <v>473</v>
      </c>
      <c r="N383" s="113"/>
      <c r="O383" s="113"/>
      <c r="P383" s="111">
        <f>SUM(P384,P388)</f>
        <v>4399978756</v>
      </c>
      <c r="Q383" s="114" t="s">
        <v>468</v>
      </c>
    </row>
    <row r="384" spans="1:17" ht="18.75" customHeight="1">
      <c r="A384" s="383" t="s">
        <v>129</v>
      </c>
      <c r="B384" s="468" t="s">
        <v>552</v>
      </c>
      <c r="C384" s="218" t="s">
        <v>489</v>
      </c>
      <c r="D384" s="469">
        <v>4541882</v>
      </c>
      <c r="E384" s="470">
        <f>P384/1000</f>
        <v>4373689.5460000001</v>
      </c>
      <c r="F384" s="471"/>
      <c r="G384" s="107">
        <f>E384-D384</f>
        <v>-168192.45399999991</v>
      </c>
      <c r="H384" s="109">
        <f>G384/D384*100</f>
        <v>-3.7031445114602253</v>
      </c>
      <c r="I384" s="144"/>
      <c r="J384" s="111"/>
      <c r="K384" s="112"/>
      <c r="L384" s="113"/>
      <c r="M384" s="113"/>
      <c r="N384" s="113"/>
      <c r="O384" s="113"/>
      <c r="P384" s="111">
        <f>SUM(P385:P387)</f>
        <v>4373689546</v>
      </c>
      <c r="Q384" s="114" t="s">
        <v>468</v>
      </c>
    </row>
    <row r="385" spans="1:33" ht="16.5" customHeight="1">
      <c r="A385" s="90"/>
      <c r="B385" s="472"/>
      <c r="C385" s="221"/>
      <c r="D385" s="473"/>
      <c r="E385" s="474"/>
      <c r="F385" s="471"/>
      <c r="G385" s="118"/>
      <c r="H385" s="120"/>
      <c r="I385" s="475" t="s">
        <v>530</v>
      </c>
      <c r="J385" s="99">
        <v>1443160597</v>
      </c>
      <c r="K385" s="100" t="s">
        <v>468</v>
      </c>
      <c r="L385" s="122" t="s">
        <v>469</v>
      </c>
      <c r="M385" s="101">
        <v>1</v>
      </c>
      <c r="N385" s="101" t="s">
        <v>467</v>
      </c>
      <c r="O385" s="123" t="s">
        <v>460</v>
      </c>
      <c r="P385" s="99">
        <f>+J385*M385</f>
        <v>1443160597</v>
      </c>
      <c r="Q385" s="125" t="s">
        <v>468</v>
      </c>
    </row>
    <row r="386" spans="1:33" ht="16.5" customHeight="1">
      <c r="A386" s="90"/>
      <c r="B386" s="472"/>
      <c r="C386" s="221"/>
      <c r="D386" s="473"/>
      <c r="E386" s="474"/>
      <c r="F386" s="476"/>
      <c r="G386" s="118"/>
      <c r="H386" s="120"/>
      <c r="I386" s="477" t="s">
        <v>59</v>
      </c>
      <c r="J386" s="99">
        <v>860042840</v>
      </c>
      <c r="K386" s="100" t="s">
        <v>468</v>
      </c>
      <c r="L386" s="122" t="s">
        <v>469</v>
      </c>
      <c r="M386" s="101">
        <v>1</v>
      </c>
      <c r="N386" s="101" t="s">
        <v>467</v>
      </c>
      <c r="O386" s="123" t="s">
        <v>460</v>
      </c>
      <c r="P386" s="99">
        <f>+J386*M386</f>
        <v>860042840</v>
      </c>
      <c r="Q386" s="125" t="s">
        <v>468</v>
      </c>
    </row>
    <row r="387" spans="1:33" ht="16.5" customHeight="1">
      <c r="A387" s="90"/>
      <c r="B387" s="472"/>
      <c r="C387" s="282"/>
      <c r="D387" s="478"/>
      <c r="E387" s="479"/>
      <c r="F387" s="296"/>
      <c r="G387" s="130"/>
      <c r="H387" s="131"/>
      <c r="I387" s="480" t="s">
        <v>74</v>
      </c>
      <c r="J387" s="481">
        <v>2070486109</v>
      </c>
      <c r="K387" s="160" t="s">
        <v>468</v>
      </c>
      <c r="L387" s="161" t="s">
        <v>469</v>
      </c>
      <c r="M387" s="163">
        <v>1</v>
      </c>
      <c r="N387" s="163" t="s">
        <v>467</v>
      </c>
      <c r="O387" s="167" t="s">
        <v>460</v>
      </c>
      <c r="P387" s="159">
        <f>+J387*M387</f>
        <v>2070486109</v>
      </c>
      <c r="Q387" s="164" t="s">
        <v>468</v>
      </c>
    </row>
    <row r="388" spans="1:33" ht="16.5" customHeight="1">
      <c r="A388" s="90"/>
      <c r="B388" s="482"/>
      <c r="C388" s="218" t="s">
        <v>508</v>
      </c>
      <c r="D388" s="470">
        <v>26289</v>
      </c>
      <c r="E388" s="134">
        <f>P388/1000</f>
        <v>26289.21</v>
      </c>
      <c r="F388" s="483"/>
      <c r="G388" s="107">
        <f>E388-D388</f>
        <v>0.20999999999912689</v>
      </c>
      <c r="H388" s="137">
        <f>G388/D388*100</f>
        <v>7.9881319182596093E-4</v>
      </c>
      <c r="I388" s="144"/>
      <c r="J388" s="251"/>
      <c r="K388" s="112"/>
      <c r="L388" s="214"/>
      <c r="M388" s="113" t="s">
        <v>473</v>
      </c>
      <c r="N388" s="113"/>
      <c r="O388" s="113"/>
      <c r="P388" s="111">
        <f>SUM(P389:P390)</f>
        <v>26289210</v>
      </c>
      <c r="Q388" s="114" t="s">
        <v>468</v>
      </c>
    </row>
    <row r="389" spans="1:33" ht="16.5" customHeight="1">
      <c r="A389" s="90"/>
      <c r="B389" s="482"/>
      <c r="C389" s="221"/>
      <c r="D389" s="474"/>
      <c r="E389" s="139"/>
      <c r="F389" s="484"/>
      <c r="G389" s="118"/>
      <c r="H389" s="142"/>
      <c r="I389" s="217" t="s">
        <v>300</v>
      </c>
      <c r="J389" s="257">
        <v>25717410</v>
      </c>
      <c r="K389" s="100" t="s">
        <v>468</v>
      </c>
      <c r="L389" s="122" t="s">
        <v>469</v>
      </c>
      <c r="M389" s="101">
        <v>1</v>
      </c>
      <c r="N389" s="101" t="s">
        <v>467</v>
      </c>
      <c r="O389" s="123" t="s">
        <v>460</v>
      </c>
      <c r="P389" s="189">
        <f>+J389*M389</f>
        <v>25717410</v>
      </c>
      <c r="Q389" s="125" t="s">
        <v>468</v>
      </c>
    </row>
    <row r="390" spans="1:33" ht="16.5" customHeight="1" thickBot="1">
      <c r="A390" s="485"/>
      <c r="B390" s="486"/>
      <c r="C390" s="487"/>
      <c r="D390" s="488"/>
      <c r="E390" s="489"/>
      <c r="F390" s="490"/>
      <c r="G390" s="491"/>
      <c r="H390" s="492"/>
      <c r="I390" s="493" t="s">
        <v>305</v>
      </c>
      <c r="J390" s="494">
        <v>571800</v>
      </c>
      <c r="K390" s="495" t="s">
        <v>468</v>
      </c>
      <c r="L390" s="496" t="s">
        <v>469</v>
      </c>
      <c r="M390" s="497">
        <v>1</v>
      </c>
      <c r="N390" s="497" t="s">
        <v>467</v>
      </c>
      <c r="O390" s="498" t="s">
        <v>460</v>
      </c>
      <c r="P390" s="499">
        <f t="shared" ref="P390:P395" si="41">+J390*M390</f>
        <v>571800</v>
      </c>
      <c r="Q390" s="500" t="s">
        <v>468</v>
      </c>
    </row>
    <row r="391" spans="1:33" hidden="1">
      <c r="A391" s="501" t="s">
        <v>482</v>
      </c>
      <c r="B391" s="482" t="s">
        <v>49</v>
      </c>
      <c r="C391" s="502" t="s">
        <v>531</v>
      </c>
      <c r="D391" s="503"/>
      <c r="E391" s="503">
        <f>+P391/1000</f>
        <v>0</v>
      </c>
      <c r="F391" s="504">
        <f>+E391-D391</f>
        <v>0</v>
      </c>
      <c r="G391" s="299">
        <f>+E391-D391</f>
        <v>0</v>
      </c>
      <c r="H391" s="505" t="e">
        <f>+G391/D391*100</f>
        <v>#DIV/0!</v>
      </c>
      <c r="I391" s="506" t="s">
        <v>54</v>
      </c>
      <c r="J391" s="264"/>
      <c r="K391" s="160" t="s">
        <v>468</v>
      </c>
      <c r="L391" s="161" t="s">
        <v>469</v>
      </c>
      <c r="M391" s="163">
        <v>1</v>
      </c>
      <c r="N391" s="163" t="s">
        <v>467</v>
      </c>
      <c r="O391" s="167" t="s">
        <v>460</v>
      </c>
      <c r="P391" s="264">
        <f t="shared" si="41"/>
        <v>0</v>
      </c>
      <c r="Q391" s="164" t="s">
        <v>468</v>
      </c>
      <c r="R391" s="40"/>
      <c r="AD391" s="39"/>
      <c r="AE391" s="40"/>
      <c r="AG391" s="41"/>
    </row>
    <row r="392" spans="1:33" hidden="1">
      <c r="A392" s="501"/>
      <c r="B392" s="104"/>
      <c r="C392" s="507" t="s">
        <v>532</v>
      </c>
      <c r="D392" s="508"/>
      <c r="E392" s="508">
        <f>+P392/1000</f>
        <v>0</v>
      </c>
      <c r="F392" s="509">
        <f>+E392-D392</f>
        <v>0</v>
      </c>
      <c r="G392" s="238">
        <f>+E392-D392</f>
        <v>0</v>
      </c>
      <c r="H392" s="510" t="e">
        <f>+G392/D392*100</f>
        <v>#DIV/0!</v>
      </c>
      <c r="I392" s="511" t="s">
        <v>44</v>
      </c>
      <c r="J392" s="512"/>
      <c r="K392" s="242" t="s">
        <v>468</v>
      </c>
      <c r="L392" s="328" t="s">
        <v>469</v>
      </c>
      <c r="M392" s="243">
        <v>1</v>
      </c>
      <c r="N392" s="243" t="s">
        <v>467</v>
      </c>
      <c r="O392" s="329" t="s">
        <v>460</v>
      </c>
      <c r="P392" s="512">
        <f t="shared" si="41"/>
        <v>0</v>
      </c>
      <c r="Q392" s="102" t="s">
        <v>468</v>
      </c>
      <c r="R392" s="40"/>
      <c r="AD392" s="39"/>
      <c r="AE392" s="40"/>
      <c r="AG392" s="41"/>
    </row>
    <row r="393" spans="1:33" ht="18" hidden="1" thickBot="1">
      <c r="A393" s="501"/>
      <c r="B393" s="104"/>
      <c r="C393" s="513" t="s">
        <v>533</v>
      </c>
      <c r="D393" s="508"/>
      <c r="E393" s="508">
        <f>+P393/1000</f>
        <v>0</v>
      </c>
      <c r="F393" s="514">
        <f>+E393-D393</f>
        <v>0</v>
      </c>
      <c r="G393" s="238">
        <f>+E393-D393</f>
        <v>0</v>
      </c>
      <c r="H393" s="510" t="e">
        <f>+G393/D393*100</f>
        <v>#DIV/0!</v>
      </c>
      <c r="I393" s="515" t="s">
        <v>499</v>
      </c>
      <c r="J393" s="251"/>
      <c r="K393" s="112" t="s">
        <v>468</v>
      </c>
      <c r="L393" s="214" t="s">
        <v>469</v>
      </c>
      <c r="M393" s="113">
        <v>1</v>
      </c>
      <c r="N393" s="113" t="s">
        <v>467</v>
      </c>
      <c r="O393" s="329" t="s">
        <v>460</v>
      </c>
      <c r="P393" s="512">
        <f t="shared" si="41"/>
        <v>0</v>
      </c>
      <c r="Q393" s="102" t="s">
        <v>468</v>
      </c>
      <c r="R393" s="40"/>
      <c r="AD393" s="39"/>
      <c r="AE393" s="40"/>
      <c r="AG393" s="41"/>
    </row>
    <row r="394" spans="1:33" ht="18" hidden="1" thickBot="1">
      <c r="A394" s="343"/>
      <c r="B394" s="516"/>
      <c r="C394" s="517" t="s">
        <v>540</v>
      </c>
      <c r="D394" s="508"/>
      <c r="E394" s="508">
        <f>+P394/1000</f>
        <v>0</v>
      </c>
      <c r="F394" s="514">
        <f>+E394-D394</f>
        <v>0</v>
      </c>
      <c r="G394" s="238">
        <f>+E394-D394</f>
        <v>0</v>
      </c>
      <c r="H394" s="510" t="e">
        <f>+G394/D394*100</f>
        <v>#DIV/0!</v>
      </c>
      <c r="I394" s="515" t="s">
        <v>53</v>
      </c>
      <c r="J394" s="251"/>
      <c r="K394" s="112" t="s">
        <v>468</v>
      </c>
      <c r="L394" s="214" t="s">
        <v>469</v>
      </c>
      <c r="M394" s="113">
        <v>1</v>
      </c>
      <c r="N394" s="113" t="s">
        <v>467</v>
      </c>
      <c r="O394" s="329" t="s">
        <v>460</v>
      </c>
      <c r="P394" s="512">
        <f t="shared" si="41"/>
        <v>0</v>
      </c>
      <c r="Q394" s="102" t="s">
        <v>468</v>
      </c>
    </row>
    <row r="395" spans="1:33" ht="18" hidden="1" thickBot="1">
      <c r="A395" s="518"/>
      <c r="B395" s="519"/>
      <c r="C395" s="520" t="s">
        <v>535</v>
      </c>
      <c r="D395" s="521"/>
      <c r="E395" s="508">
        <f>+P395/1000</f>
        <v>0</v>
      </c>
      <c r="F395" s="514">
        <f>+E395-D395</f>
        <v>0</v>
      </c>
      <c r="G395" s="238">
        <f>+E395-D395</f>
        <v>0</v>
      </c>
      <c r="H395" s="522" t="e">
        <f>+G395/D395*100</f>
        <v>#DIV/0!</v>
      </c>
      <c r="I395" s="523" t="s">
        <v>48</v>
      </c>
      <c r="J395" s="524"/>
      <c r="K395" s="525" t="s">
        <v>468</v>
      </c>
      <c r="L395" s="526" t="s">
        <v>469</v>
      </c>
      <c r="M395" s="527">
        <v>1</v>
      </c>
      <c r="N395" s="527" t="s">
        <v>467</v>
      </c>
      <c r="O395" s="528" t="s">
        <v>460</v>
      </c>
      <c r="P395" s="524">
        <f t="shared" si="41"/>
        <v>0</v>
      </c>
      <c r="Q395" s="529" t="s">
        <v>468</v>
      </c>
    </row>
    <row r="396" spans="1:33">
      <c r="A396" s="530"/>
      <c r="B396" s="531"/>
      <c r="C396" s="531"/>
      <c r="D396" s="532"/>
      <c r="E396" s="530"/>
      <c r="G396" s="533"/>
      <c r="H396" s="534"/>
      <c r="I396" s="535"/>
      <c r="J396" s="99"/>
      <c r="K396" s="100"/>
      <c r="L396" s="101"/>
      <c r="M396" s="101"/>
      <c r="N396" s="101"/>
      <c r="O396" s="101"/>
      <c r="P396" s="99"/>
      <c r="Q396" s="100"/>
    </row>
    <row r="397" spans="1:33">
      <c r="A397" s="530"/>
      <c r="B397" s="531"/>
      <c r="C397" s="531"/>
      <c r="D397" s="532"/>
      <c r="E397" s="530"/>
      <c r="G397" s="533"/>
      <c r="H397" s="534"/>
      <c r="I397" s="536"/>
      <c r="J397" s="99"/>
      <c r="K397" s="100"/>
      <c r="L397" s="101"/>
      <c r="M397" s="101"/>
      <c r="N397" s="101"/>
      <c r="O397" s="101"/>
      <c r="P397" s="99"/>
      <c r="Q397" s="100"/>
    </row>
    <row r="398" spans="1:33" ht="9.75" customHeight="1">
      <c r="A398" s="530"/>
      <c r="G398" s="533"/>
      <c r="H398" s="534"/>
      <c r="I398" s="169"/>
    </row>
    <row r="399" spans="1:33">
      <c r="G399" s="533"/>
      <c r="H399" s="534"/>
      <c r="I399" s="169"/>
    </row>
    <row r="401" spans="9:9">
      <c r="I401" s="537"/>
    </row>
    <row r="402" spans="9:9">
      <c r="I402" s="537"/>
    </row>
  </sheetData>
  <mergeCells count="397">
    <mergeCell ref="D273:D276"/>
    <mergeCell ref="E273:E276"/>
    <mergeCell ref="M228:O228"/>
    <mergeCell ref="E228:E235"/>
    <mergeCell ref="E154:E158"/>
    <mergeCell ref="F218:F219"/>
    <mergeCell ref="E218:E219"/>
    <mergeCell ref="M207:O207"/>
    <mergeCell ref="F221:F223"/>
    <mergeCell ref="H170:H172"/>
    <mergeCell ref="H178:H179"/>
    <mergeCell ref="M218:O218"/>
    <mergeCell ref="H221:H223"/>
    <mergeCell ref="H212:H217"/>
    <mergeCell ref="H207:H210"/>
    <mergeCell ref="I202:J202"/>
    <mergeCell ref="G218:G219"/>
    <mergeCell ref="F228:F231"/>
    <mergeCell ref="G160:G164"/>
    <mergeCell ref="H160:H164"/>
    <mergeCell ref="F212:F217"/>
    <mergeCell ref="G212:G217"/>
    <mergeCell ref="E212:E217"/>
    <mergeCell ref="H181:H206"/>
    <mergeCell ref="C221:C223"/>
    <mergeCell ref="C224:C226"/>
    <mergeCell ref="D257:D262"/>
    <mergeCell ref="E125:E127"/>
    <mergeCell ref="E128:E130"/>
    <mergeCell ref="E132:E148"/>
    <mergeCell ref="C212:C217"/>
    <mergeCell ref="C218:C219"/>
    <mergeCell ref="D218:D219"/>
    <mergeCell ref="D224:D226"/>
    <mergeCell ref="C160:C164"/>
    <mergeCell ref="E178:E179"/>
    <mergeCell ref="E149:E151"/>
    <mergeCell ref="E37:E39"/>
    <mergeCell ref="D52:D58"/>
    <mergeCell ref="E97:E101"/>
    <mergeCell ref="E102:E103"/>
    <mergeCell ref="D114:D116"/>
    <mergeCell ref="D117:D120"/>
    <mergeCell ref="E84:E85"/>
    <mergeCell ref="C111:C112"/>
    <mergeCell ref="C121:C124"/>
    <mergeCell ref="D121:D124"/>
    <mergeCell ref="E117:E120"/>
    <mergeCell ref="E94:E96"/>
    <mergeCell ref="E111:E112"/>
    <mergeCell ref="E104:E110"/>
    <mergeCell ref="E121:E124"/>
    <mergeCell ref="E81:E83"/>
    <mergeCell ref="D81:D83"/>
    <mergeCell ref="D94:D96"/>
    <mergeCell ref="E88:E93"/>
    <mergeCell ref="D111:D112"/>
    <mergeCell ref="D102:D103"/>
    <mergeCell ref="C88:C93"/>
    <mergeCell ref="D88:D93"/>
    <mergeCell ref="E63:E66"/>
    <mergeCell ref="B78:C78"/>
    <mergeCell ref="E59:E62"/>
    <mergeCell ref="D59:D62"/>
    <mergeCell ref="E52:E58"/>
    <mergeCell ref="E79:E80"/>
    <mergeCell ref="D75:D77"/>
    <mergeCell ref="D79:D80"/>
    <mergeCell ref="E75:E77"/>
    <mergeCell ref="C67:C74"/>
    <mergeCell ref="D67:D74"/>
    <mergeCell ref="E67:E74"/>
    <mergeCell ref="C75:C77"/>
    <mergeCell ref="C59:C62"/>
    <mergeCell ref="C63:C66"/>
    <mergeCell ref="D63:D66"/>
    <mergeCell ref="C79:C80"/>
    <mergeCell ref="M37:O37"/>
    <mergeCell ref="M40:O40"/>
    <mergeCell ref="H75:H77"/>
    <mergeCell ref="M67:O67"/>
    <mergeCell ref="M63:O63"/>
    <mergeCell ref="F29:F34"/>
    <mergeCell ref="F37:F39"/>
    <mergeCell ref="M59:O59"/>
    <mergeCell ref="M28:N28"/>
    <mergeCell ref="F59:F62"/>
    <mergeCell ref="M43:O43"/>
    <mergeCell ref="H29:H35"/>
    <mergeCell ref="F50:F51"/>
    <mergeCell ref="G50:G51"/>
    <mergeCell ref="G43:G48"/>
    <mergeCell ref="F43:F48"/>
    <mergeCell ref="M75:O75"/>
    <mergeCell ref="F52:F58"/>
    <mergeCell ref="F63:F66"/>
    <mergeCell ref="F75:F77"/>
    <mergeCell ref="G63:G66"/>
    <mergeCell ref="H52:H58"/>
    <mergeCell ref="G52:G58"/>
    <mergeCell ref="G59:G62"/>
    <mergeCell ref="H43:H48"/>
    <mergeCell ref="M52:O52"/>
    <mergeCell ref="I3:Q4"/>
    <mergeCell ref="D13:D20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E40:E42"/>
    <mergeCell ref="D37:D39"/>
    <mergeCell ref="E43:E48"/>
    <mergeCell ref="C52:C58"/>
    <mergeCell ref="D50:D51"/>
    <mergeCell ref="D43:D48"/>
    <mergeCell ref="D23:D28"/>
    <mergeCell ref="D29:D35"/>
    <mergeCell ref="C388:C390"/>
    <mergeCell ref="C384:C387"/>
    <mergeCell ref="B282:C282"/>
    <mergeCell ref="D384:D387"/>
    <mergeCell ref="B384:B387"/>
    <mergeCell ref="B383:C383"/>
    <mergeCell ref="D388:D390"/>
    <mergeCell ref="D280:D281"/>
    <mergeCell ref="C243:C245"/>
    <mergeCell ref="C280:C281"/>
    <mergeCell ref="D251:D255"/>
    <mergeCell ref="C278:C279"/>
    <mergeCell ref="C251:C255"/>
    <mergeCell ref="D263:D266"/>
    <mergeCell ref="C263:C266"/>
    <mergeCell ref="B277:C277"/>
    <mergeCell ref="B87:B89"/>
    <mergeCell ref="B86:C86"/>
    <mergeCell ref="C81:C83"/>
    <mergeCell ref="C114:C116"/>
    <mergeCell ref="D97:D101"/>
    <mergeCell ref="C173:C177"/>
    <mergeCell ref="D173:D177"/>
    <mergeCell ref="D154:D158"/>
    <mergeCell ref="C154:C158"/>
    <mergeCell ref="C104:C110"/>
    <mergeCell ref="D104:D110"/>
    <mergeCell ref="D128:D130"/>
    <mergeCell ref="C117:C120"/>
    <mergeCell ref="C152:C153"/>
    <mergeCell ref="D160:D164"/>
    <mergeCell ref="D170:D172"/>
    <mergeCell ref="C170:C172"/>
    <mergeCell ref="D125:D127"/>
    <mergeCell ref="C128:C130"/>
    <mergeCell ref="C149:C151"/>
    <mergeCell ref="D149:D151"/>
    <mergeCell ref="F263:F266"/>
    <mergeCell ref="D237:D242"/>
    <mergeCell ref="E237:E242"/>
    <mergeCell ref="F247:F250"/>
    <mergeCell ref="E257:E262"/>
    <mergeCell ref="F257:F261"/>
    <mergeCell ref="B227:B228"/>
    <mergeCell ref="B272:C272"/>
    <mergeCell ref="D247:D250"/>
    <mergeCell ref="C257:C262"/>
    <mergeCell ref="C247:C250"/>
    <mergeCell ref="D268:D271"/>
    <mergeCell ref="E268:E271"/>
    <mergeCell ref="C268:C271"/>
    <mergeCell ref="D228:D235"/>
    <mergeCell ref="E243:E245"/>
    <mergeCell ref="D278:D279"/>
    <mergeCell ref="B131:B132"/>
    <mergeCell ref="C132:C148"/>
    <mergeCell ref="D132:D148"/>
    <mergeCell ref="E247:E250"/>
    <mergeCell ref="C181:C206"/>
    <mergeCell ref="C228:C235"/>
    <mergeCell ref="C237:C242"/>
    <mergeCell ref="E224:E226"/>
    <mergeCell ref="E181:E206"/>
    <mergeCell ref="D212:D217"/>
    <mergeCell ref="E207:E210"/>
    <mergeCell ref="D207:D210"/>
    <mergeCell ref="D221:D223"/>
    <mergeCell ref="E221:E223"/>
    <mergeCell ref="D181:D206"/>
    <mergeCell ref="E160:E164"/>
    <mergeCell ref="D178:D179"/>
    <mergeCell ref="E173:E177"/>
    <mergeCell ref="E170:E172"/>
    <mergeCell ref="C178:C179"/>
    <mergeCell ref="C273:C276"/>
    <mergeCell ref="E152:E153"/>
    <mergeCell ref="C207:C210"/>
    <mergeCell ref="E388:E390"/>
    <mergeCell ref="M221:O221"/>
    <mergeCell ref="M128:O128"/>
    <mergeCell ref="M97:O97"/>
    <mergeCell ref="M113:O113"/>
    <mergeCell ref="M180:O180"/>
    <mergeCell ref="M212:O212"/>
    <mergeCell ref="M125:O125"/>
    <mergeCell ref="H388:H390"/>
    <mergeCell ref="F224:F226"/>
    <mergeCell ref="H94:H96"/>
    <mergeCell ref="M160:O160"/>
    <mergeCell ref="M178:O178"/>
    <mergeCell ref="G178:G179"/>
    <mergeCell ref="G170:G172"/>
    <mergeCell ref="M154:O154"/>
    <mergeCell ref="H152:H153"/>
    <mergeCell ref="H154:H158"/>
    <mergeCell ref="G154:G158"/>
    <mergeCell ref="M173:O173"/>
    <mergeCell ref="M152:O152"/>
    <mergeCell ref="M102:O102"/>
    <mergeCell ref="G128:G130"/>
    <mergeCell ref="G388:G390"/>
    <mergeCell ref="H384:H387"/>
    <mergeCell ref="G384:G387"/>
    <mergeCell ref="G278:G279"/>
    <mergeCell ref="G228:G235"/>
    <mergeCell ref="H257:H262"/>
    <mergeCell ref="G280:G281"/>
    <mergeCell ref="H278:H279"/>
    <mergeCell ref="H251:H255"/>
    <mergeCell ref="G237:G242"/>
    <mergeCell ref="H237:H242"/>
    <mergeCell ref="G243:G245"/>
    <mergeCell ref="H268:H271"/>
    <mergeCell ref="H228:H235"/>
    <mergeCell ref="H280:H281"/>
    <mergeCell ref="H247:H250"/>
    <mergeCell ref="G273:G276"/>
    <mergeCell ref="H273:H276"/>
    <mergeCell ref="G268:G271"/>
    <mergeCell ref="H243:H245"/>
    <mergeCell ref="G263:G266"/>
    <mergeCell ref="G251:G255"/>
    <mergeCell ref="M237:O237"/>
    <mergeCell ref="E384:E387"/>
    <mergeCell ref="H263:H266"/>
    <mergeCell ref="G247:G250"/>
    <mergeCell ref="F280:F281"/>
    <mergeCell ref="G257:G262"/>
    <mergeCell ref="E280:E281"/>
    <mergeCell ref="E263:E266"/>
    <mergeCell ref="E251:E255"/>
    <mergeCell ref="M247:O247"/>
    <mergeCell ref="M243:O243"/>
    <mergeCell ref="I268:J268"/>
    <mergeCell ref="F237:F238"/>
    <mergeCell ref="M257:O257"/>
    <mergeCell ref="M273:O273"/>
    <mergeCell ref="M251:O251"/>
    <mergeCell ref="M280:O280"/>
    <mergeCell ref="M263:O263"/>
    <mergeCell ref="M278:O278"/>
    <mergeCell ref="E278:E279"/>
    <mergeCell ref="M268:O268"/>
    <mergeCell ref="F268:F269"/>
    <mergeCell ref="F243:F245"/>
    <mergeCell ref="F251:F255"/>
    <mergeCell ref="O2:Q2"/>
    <mergeCell ref="G3:H3"/>
    <mergeCell ref="F3:F4"/>
    <mergeCell ref="M13:O13"/>
    <mergeCell ref="H102:H103"/>
    <mergeCell ref="F160:F167"/>
    <mergeCell ref="H132:H148"/>
    <mergeCell ref="M114:O114"/>
    <mergeCell ref="G114:G116"/>
    <mergeCell ref="H117:H120"/>
    <mergeCell ref="H111:H112"/>
    <mergeCell ref="G104:G110"/>
    <mergeCell ref="H104:H110"/>
    <mergeCell ref="M111:O111"/>
    <mergeCell ref="H128:H130"/>
    <mergeCell ref="F121:F123"/>
    <mergeCell ref="M117:O117"/>
    <mergeCell ref="G125:G127"/>
    <mergeCell ref="H125:H127"/>
    <mergeCell ref="M121:O121"/>
    <mergeCell ref="G121:G124"/>
    <mergeCell ref="G132:G148"/>
    <mergeCell ref="M149:O149"/>
    <mergeCell ref="F149:F150"/>
    <mergeCell ref="E50:E51"/>
    <mergeCell ref="F154:F155"/>
    <mergeCell ref="E114:E116"/>
    <mergeCell ref="E29:E35"/>
    <mergeCell ref="A1:B1"/>
    <mergeCell ref="D243:D245"/>
    <mergeCell ref="A2:B2"/>
    <mergeCell ref="A3:A4"/>
    <mergeCell ref="B6:C6"/>
    <mergeCell ref="C125:C127"/>
    <mergeCell ref="D152:D153"/>
    <mergeCell ref="D40:D42"/>
    <mergeCell ref="C29:C35"/>
    <mergeCell ref="D84:D85"/>
    <mergeCell ref="C102:C103"/>
    <mergeCell ref="C50:C51"/>
    <mergeCell ref="C43:C48"/>
    <mergeCell ref="C97:C101"/>
    <mergeCell ref="C84:C85"/>
    <mergeCell ref="C94:C96"/>
    <mergeCell ref="C23:C28"/>
    <mergeCell ref="C13:C20"/>
    <mergeCell ref="C40:C42"/>
    <mergeCell ref="C37:C39"/>
    <mergeCell ref="G29:G35"/>
    <mergeCell ref="G111:G112"/>
    <mergeCell ref="H114:H116"/>
    <mergeCell ref="F114:F116"/>
    <mergeCell ref="G37:G39"/>
    <mergeCell ref="H40:H42"/>
    <mergeCell ref="H37:H39"/>
    <mergeCell ref="G40:G42"/>
    <mergeCell ref="H50:H51"/>
    <mergeCell ref="F79:F80"/>
    <mergeCell ref="H67:H74"/>
    <mergeCell ref="F84:F85"/>
    <mergeCell ref="G75:G77"/>
    <mergeCell ref="H63:H66"/>
    <mergeCell ref="H59:H62"/>
    <mergeCell ref="G84:G85"/>
    <mergeCell ref="G79:G80"/>
    <mergeCell ref="H84:H85"/>
    <mergeCell ref="F97:F101"/>
    <mergeCell ref="H88:H93"/>
    <mergeCell ref="G88:G93"/>
    <mergeCell ref="F88:F93"/>
    <mergeCell ref="F94:F96"/>
    <mergeCell ref="F81:F82"/>
    <mergeCell ref="F117:F120"/>
    <mergeCell ref="G117:G120"/>
    <mergeCell ref="H121:H124"/>
    <mergeCell ref="F181:F206"/>
    <mergeCell ref="F207:F209"/>
    <mergeCell ref="F173:F177"/>
    <mergeCell ref="G224:G226"/>
    <mergeCell ref="M94:O94"/>
    <mergeCell ref="M87:O87"/>
    <mergeCell ref="M88:O88"/>
    <mergeCell ref="M132:O132"/>
    <mergeCell ref="M104:O104"/>
    <mergeCell ref="G97:G101"/>
    <mergeCell ref="G181:G206"/>
    <mergeCell ref="G207:G210"/>
    <mergeCell ref="G221:G223"/>
    <mergeCell ref="G152:G153"/>
    <mergeCell ref="G94:G96"/>
    <mergeCell ref="H97:H101"/>
    <mergeCell ref="F152:F153"/>
    <mergeCell ref="F128:F130"/>
    <mergeCell ref="F132:F148"/>
    <mergeCell ref="G67:G74"/>
    <mergeCell ref="G81:G83"/>
    <mergeCell ref="H79:H80"/>
    <mergeCell ref="H81:H83"/>
    <mergeCell ref="H224:H226"/>
    <mergeCell ref="H218:H219"/>
    <mergeCell ref="G102:G103"/>
    <mergeCell ref="H173:H177"/>
    <mergeCell ref="M181:O181"/>
    <mergeCell ref="G173:G177"/>
    <mergeCell ref="M131:O131"/>
    <mergeCell ref="M224:O224"/>
    <mergeCell ref="G149:G151"/>
    <mergeCell ref="H149:H151"/>
  </mergeCells>
  <phoneticPr fontId="7" type="noConversion"/>
  <pageMargins left="0.19666667282581329" right="0.19666667282581329" top="0.59041666984558105" bottom="0.39347222447395325" header="0.39347222447395325" footer="0.19666667282581329"/>
  <pageSetup paperSize="9" scale="89" firstPageNumber="5" fitToWidth="14" fitToHeight="14" orientation="landscape" useFirstPageNumber="1" r:id="rId1"/>
  <headerFooter>
    <oddFooter>&amp;C&amp;"맑은 고딕,Regular"&amp;P</oddFooter>
  </headerFooter>
  <rowBreaks count="11" manualBreakCount="11">
    <brk id="35" max="1048575" man="1"/>
    <brk id="66" max="1048575" man="1"/>
    <brk id="96" max="1048575" man="1"/>
    <brk id="130" max="1048575" man="1"/>
    <brk id="164" max="1048575" man="1"/>
    <brk id="196" max="1048575" man="1"/>
    <brk id="226" max="1048575" man="1"/>
    <brk id="255" max="1048575" man="1"/>
    <brk id="317" max="1048575" man="1"/>
    <brk id="348" max="1048575" man="1"/>
    <brk id="37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7</cp:revision>
  <cp:lastPrinted>2020-07-29T00:55:37Z</cp:lastPrinted>
  <dcterms:created xsi:type="dcterms:W3CDTF">2009-12-07T05:26:05Z</dcterms:created>
  <dcterms:modified xsi:type="dcterms:W3CDTF">2020-07-29T00:59:01Z</dcterms:modified>
  <cp:version>1100.0100.01</cp:version>
</cp:coreProperties>
</file>