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defaultThemeVersion="124226"/>
  <bookViews>
    <workbookView xWindow="-120" yWindow="-120" windowWidth="38640" windowHeight="13740"/>
  </bookViews>
  <sheets>
    <sheet name="예산총칙" sheetId="2" r:id="rId1"/>
    <sheet name="세입내역" sheetId="6" r:id="rId2"/>
    <sheet name="세출내역" sheetId="7" r:id="rId3"/>
  </sheets>
  <definedNames>
    <definedName name="_xlnm.Print_Area" localSheetId="1">세입내역!$A$1:$Z$98</definedName>
    <definedName name="_xlnm.Print_Area" localSheetId="2">세출내역!$A$1:$Q$386</definedName>
    <definedName name="_xlnm.Print_Area" localSheetId="0">예산총칙!$A$1:$P$24</definedName>
    <definedName name="_xlnm.Print_Titles" localSheetId="1">세입내역!$4:$5</definedName>
    <definedName name="_xlnm.Print_Titles" localSheetId="2">세출내역!$3:$4</definedName>
  </definedNames>
  <calcPr calcId="145621"/>
</workbook>
</file>

<file path=xl/calcChain.xml><?xml version="1.0" encoding="utf-8"?>
<calcChain xmlns="http://schemas.openxmlformats.org/spreadsheetml/2006/main">
  <c r="P382" i="7" l="1"/>
  <c r="P381" i="7"/>
  <c r="P380" i="7"/>
  <c r="P379" i="7" l="1"/>
  <c r="P386" i="7"/>
  <c r="E379" i="7" l="1"/>
  <c r="P82" i="7"/>
  <c r="P71" i="7"/>
  <c r="P68" i="7"/>
  <c r="G379" i="7" l="1"/>
  <c r="P385" i="7"/>
  <c r="P384" i="7"/>
  <c r="P383" i="7" s="1"/>
  <c r="P378" i="7"/>
  <c r="P377" i="7"/>
  <c r="P376" i="7"/>
  <c r="F374" i="7"/>
  <c r="D374" i="7"/>
  <c r="P373" i="7"/>
  <c r="E373" i="7" s="1"/>
  <c r="G373" i="7" s="1"/>
  <c r="H373" i="7" s="1"/>
  <c r="P372" i="7"/>
  <c r="E372" i="7" s="1"/>
  <c r="G372" i="7" s="1"/>
  <c r="H372" i="7" s="1"/>
  <c r="P371" i="7"/>
  <c r="E371" i="7" s="1"/>
  <c r="G371" i="7" s="1"/>
  <c r="H371" i="7" s="1"/>
  <c r="P370" i="7"/>
  <c r="E370" i="7" s="1"/>
  <c r="P369" i="7"/>
  <c r="E369" i="7" s="1"/>
  <c r="G369" i="7" s="1"/>
  <c r="H369" i="7" s="1"/>
  <c r="P368" i="7"/>
  <c r="E368" i="7"/>
  <c r="G368" i="7" s="1"/>
  <c r="H368" i="7" s="1"/>
  <c r="P367" i="7"/>
  <c r="E367" i="7" s="1"/>
  <c r="G367" i="7" s="1"/>
  <c r="H367" i="7" s="1"/>
  <c r="P366" i="7"/>
  <c r="E366" i="7" s="1"/>
  <c r="P365" i="7"/>
  <c r="E365" i="7" s="1"/>
  <c r="P364" i="7"/>
  <c r="E364" i="7" s="1"/>
  <c r="P363" i="7"/>
  <c r="E363" i="7" s="1"/>
  <c r="P362" i="7"/>
  <c r="E362" i="7" s="1"/>
  <c r="G362" i="7" s="1"/>
  <c r="H362" i="7" s="1"/>
  <c r="P361" i="7"/>
  <c r="E361" i="7" s="1"/>
  <c r="P360" i="7"/>
  <c r="E360" i="7" s="1"/>
  <c r="P359" i="7"/>
  <c r="E359" i="7" s="1"/>
  <c r="P358" i="7"/>
  <c r="E358" i="7" s="1"/>
  <c r="P357" i="7"/>
  <c r="E357" i="7" s="1"/>
  <c r="P356" i="7"/>
  <c r="E356" i="7" s="1"/>
  <c r="G356" i="7" s="1"/>
  <c r="H356" i="7" s="1"/>
  <c r="P355" i="7"/>
  <c r="E355" i="7" s="1"/>
  <c r="P354" i="7"/>
  <c r="E354" i="7" s="1"/>
  <c r="P353" i="7"/>
  <c r="E353" i="7" s="1"/>
  <c r="P352" i="7"/>
  <c r="E352" i="7" s="1"/>
  <c r="G352" i="7" s="1"/>
  <c r="H352" i="7" s="1"/>
  <c r="P351" i="7"/>
  <c r="E351" i="7" s="1"/>
  <c r="P350" i="7"/>
  <c r="E350" i="7" s="1"/>
  <c r="G350" i="7" s="1"/>
  <c r="H350" i="7" s="1"/>
  <c r="P349" i="7"/>
  <c r="E349" i="7" s="1"/>
  <c r="G349" i="7" s="1"/>
  <c r="H349" i="7" s="1"/>
  <c r="P348" i="7"/>
  <c r="E348" i="7" s="1"/>
  <c r="P347" i="7"/>
  <c r="E347" i="7" s="1"/>
  <c r="G347" i="7" s="1"/>
  <c r="H347" i="7" s="1"/>
  <c r="P346" i="7"/>
  <c r="E346" i="7" s="1"/>
  <c r="G346" i="7" s="1"/>
  <c r="H346" i="7" s="1"/>
  <c r="P345" i="7"/>
  <c r="E345" i="7" s="1"/>
  <c r="G345" i="7" s="1"/>
  <c r="H345" i="7" s="1"/>
  <c r="P344" i="7"/>
  <c r="E344" i="7" s="1"/>
  <c r="G344" i="7" s="1"/>
  <c r="H344" i="7" s="1"/>
  <c r="P343" i="7"/>
  <c r="E343" i="7" s="1"/>
  <c r="P342" i="7"/>
  <c r="E342" i="7" s="1"/>
  <c r="P341" i="7"/>
  <c r="E341" i="7" s="1"/>
  <c r="P340" i="7"/>
  <c r="E340" i="7" s="1"/>
  <c r="G340" i="7" s="1"/>
  <c r="H340" i="7" s="1"/>
  <c r="P339" i="7"/>
  <c r="E339" i="7" s="1"/>
  <c r="P338" i="7"/>
  <c r="E338" i="7" s="1"/>
  <c r="P337" i="7"/>
  <c r="E337" i="7" s="1"/>
  <c r="P336" i="7"/>
  <c r="E336" i="7" s="1"/>
  <c r="P335" i="7"/>
  <c r="E335" i="7" s="1"/>
  <c r="P334" i="7"/>
  <c r="E334" i="7" s="1"/>
  <c r="P333" i="7"/>
  <c r="E333" i="7" s="1"/>
  <c r="P332" i="7"/>
  <c r="E332" i="7" s="1"/>
  <c r="G332" i="7" s="1"/>
  <c r="H332" i="7" s="1"/>
  <c r="P331" i="7"/>
  <c r="E331" i="7" s="1"/>
  <c r="P330" i="7"/>
  <c r="E330" i="7" s="1"/>
  <c r="G330" i="7" s="1"/>
  <c r="H330" i="7" s="1"/>
  <c r="P329" i="7"/>
  <c r="E329" i="7" s="1"/>
  <c r="P328" i="7"/>
  <c r="E328" i="7" s="1"/>
  <c r="P327" i="7"/>
  <c r="E327" i="7" s="1"/>
  <c r="G327" i="7" s="1"/>
  <c r="H327" i="7" s="1"/>
  <c r="P326" i="7"/>
  <c r="E326" i="7" s="1"/>
  <c r="G326" i="7" s="1"/>
  <c r="H326" i="7" s="1"/>
  <c r="P325" i="7"/>
  <c r="E325" i="7" s="1"/>
  <c r="P324" i="7"/>
  <c r="E324" i="7" s="1"/>
  <c r="G324" i="7" s="1"/>
  <c r="H324" i="7" s="1"/>
  <c r="P323" i="7"/>
  <c r="E323" i="7" s="1"/>
  <c r="P322" i="7"/>
  <c r="G322" i="7"/>
  <c r="P321" i="7"/>
  <c r="E321" i="7" s="1"/>
  <c r="G321" i="7" s="1"/>
  <c r="H321" i="7" s="1"/>
  <c r="P320" i="7"/>
  <c r="E320" i="7" s="1"/>
  <c r="G320" i="7" s="1"/>
  <c r="H320" i="7" s="1"/>
  <c r="P319" i="7"/>
  <c r="E319" i="7" s="1"/>
  <c r="P318" i="7"/>
  <c r="E318" i="7" s="1"/>
  <c r="G318" i="7" s="1"/>
  <c r="H318" i="7" s="1"/>
  <c r="P317" i="7"/>
  <c r="E317" i="7" s="1"/>
  <c r="G317" i="7" s="1"/>
  <c r="H317" i="7" s="1"/>
  <c r="P316" i="7"/>
  <c r="E316" i="7" s="1"/>
  <c r="G316" i="7" s="1"/>
  <c r="H316" i="7" s="1"/>
  <c r="P315" i="7"/>
  <c r="E315" i="7" s="1"/>
  <c r="P314" i="7"/>
  <c r="E314" i="7" s="1"/>
  <c r="G314" i="7" s="1"/>
  <c r="H314" i="7" s="1"/>
  <c r="P313" i="7"/>
  <c r="E313" i="7" s="1"/>
  <c r="G313" i="7" s="1"/>
  <c r="H313" i="7" s="1"/>
  <c r="P312" i="7"/>
  <c r="E312" i="7" s="1"/>
  <c r="G312" i="7" s="1"/>
  <c r="H312" i="7" s="1"/>
  <c r="P311" i="7"/>
  <c r="E311" i="7" s="1"/>
  <c r="P310" i="7"/>
  <c r="E310" i="7" s="1"/>
  <c r="F310" i="7"/>
  <c r="P309" i="7"/>
  <c r="E309" i="7" s="1"/>
  <c r="G309" i="7" s="1"/>
  <c r="H309" i="7" s="1"/>
  <c r="P308" i="7"/>
  <c r="E308" i="7" s="1"/>
  <c r="G308" i="7" s="1"/>
  <c r="H308" i="7" s="1"/>
  <c r="P307" i="7"/>
  <c r="E307" i="7" s="1"/>
  <c r="P306" i="7"/>
  <c r="E306" i="7" s="1"/>
  <c r="G306" i="7" s="1"/>
  <c r="H306" i="7" s="1"/>
  <c r="P305" i="7"/>
  <c r="E305" i="7" s="1"/>
  <c r="G305" i="7" s="1"/>
  <c r="H305" i="7" s="1"/>
  <c r="P304" i="7"/>
  <c r="E304" i="7" s="1"/>
  <c r="G304" i="7" s="1"/>
  <c r="H304" i="7" s="1"/>
  <c r="P303" i="7"/>
  <c r="E303" i="7" s="1"/>
  <c r="P302" i="7"/>
  <c r="E302" i="7" s="1"/>
  <c r="G302" i="7" s="1"/>
  <c r="H302" i="7" s="1"/>
  <c r="P301" i="7"/>
  <c r="E301" i="7" s="1"/>
  <c r="G301" i="7" s="1"/>
  <c r="H301" i="7" s="1"/>
  <c r="P300" i="7"/>
  <c r="E300" i="7" s="1"/>
  <c r="G300" i="7" s="1"/>
  <c r="H300" i="7" s="1"/>
  <c r="P299" i="7"/>
  <c r="E299" i="7" s="1"/>
  <c r="P298" i="7"/>
  <c r="E298" i="7" s="1"/>
  <c r="G298" i="7" s="1"/>
  <c r="H298" i="7" s="1"/>
  <c r="P297" i="7"/>
  <c r="E297" i="7" s="1"/>
  <c r="G297" i="7" s="1"/>
  <c r="H297" i="7" s="1"/>
  <c r="P296" i="7"/>
  <c r="E296" i="7" s="1"/>
  <c r="G296" i="7" s="1"/>
  <c r="H296" i="7" s="1"/>
  <c r="P295" i="7"/>
  <c r="E295" i="7" s="1"/>
  <c r="P294" i="7"/>
  <c r="E294" i="7" s="1"/>
  <c r="G294" i="7" s="1"/>
  <c r="H294" i="7" s="1"/>
  <c r="P293" i="7"/>
  <c r="E293" i="7" s="1"/>
  <c r="G293" i="7" s="1"/>
  <c r="H293" i="7" s="1"/>
  <c r="P292" i="7"/>
  <c r="E292" i="7" s="1"/>
  <c r="G292" i="7" s="1"/>
  <c r="H292" i="7" s="1"/>
  <c r="F292" i="7"/>
  <c r="F273" i="7" s="1"/>
  <c r="P291" i="7"/>
  <c r="E291" i="7" s="1"/>
  <c r="P290" i="7"/>
  <c r="E290" i="7" s="1"/>
  <c r="P289" i="7"/>
  <c r="E289" i="7" s="1"/>
  <c r="P288" i="7"/>
  <c r="E288" i="7" s="1"/>
  <c r="P287" i="7"/>
  <c r="E287" i="7" s="1"/>
  <c r="P286" i="7"/>
  <c r="E286" i="7" s="1"/>
  <c r="G286" i="7" s="1"/>
  <c r="H286" i="7" s="1"/>
  <c r="P285" i="7"/>
  <c r="E285" i="7" s="1"/>
  <c r="P284" i="7"/>
  <c r="E284" i="7" s="1"/>
  <c r="P283" i="7"/>
  <c r="E283" i="7" s="1"/>
  <c r="G283" i="7" s="1"/>
  <c r="H283" i="7" s="1"/>
  <c r="J282" i="7"/>
  <c r="P282" i="7" s="1"/>
  <c r="E282" i="7" s="1"/>
  <c r="P281" i="7"/>
  <c r="E281" i="7" s="1"/>
  <c r="G281" i="7" s="1"/>
  <c r="H281" i="7" s="1"/>
  <c r="P280" i="7"/>
  <c r="E280" i="7" s="1"/>
  <c r="G280" i="7" s="1"/>
  <c r="H280" i="7" s="1"/>
  <c r="P279" i="7"/>
  <c r="E279" i="7" s="1"/>
  <c r="P278" i="7"/>
  <c r="E278" i="7" s="1"/>
  <c r="G278" i="7" s="1"/>
  <c r="H278" i="7" s="1"/>
  <c r="P277" i="7"/>
  <c r="E277" i="7" s="1"/>
  <c r="P276" i="7"/>
  <c r="E276" i="7" s="1"/>
  <c r="P275" i="7"/>
  <c r="E275" i="7" s="1"/>
  <c r="P274" i="7"/>
  <c r="D273" i="7"/>
  <c r="P272" i="7"/>
  <c r="P271" i="7" s="1"/>
  <c r="E271" i="7" s="1"/>
  <c r="P270" i="7"/>
  <c r="P269" i="7" s="1"/>
  <c r="F268" i="7"/>
  <c r="D268" i="7"/>
  <c r="P267" i="7"/>
  <c r="P266" i="7"/>
  <c r="P265" i="7"/>
  <c r="P264" i="7"/>
  <c r="D262" i="7"/>
  <c r="P261" i="7"/>
  <c r="P260" i="7"/>
  <c r="P259" i="7"/>
  <c r="F257" i="7"/>
  <c r="D257" i="7"/>
  <c r="P256" i="7"/>
  <c r="P255" i="7"/>
  <c r="P254" i="7"/>
  <c r="P252" i="7"/>
  <c r="P251" i="7"/>
  <c r="P250" i="7"/>
  <c r="P249" i="7"/>
  <c r="P248" i="7"/>
  <c r="F246" i="7"/>
  <c r="D246" i="7"/>
  <c r="P245" i="7"/>
  <c r="H245" i="7"/>
  <c r="P244" i="7"/>
  <c r="P243" i="7"/>
  <c r="P242" i="7"/>
  <c r="P240" i="7"/>
  <c r="P239" i="7"/>
  <c r="F237" i="7"/>
  <c r="D237" i="7"/>
  <c r="P236" i="7"/>
  <c r="P235" i="7"/>
  <c r="P233" i="7"/>
  <c r="P232" i="7"/>
  <c r="P231" i="7"/>
  <c r="P230" i="7"/>
  <c r="P229" i="7"/>
  <c r="F227" i="7"/>
  <c r="D227" i="7"/>
  <c r="P226" i="7"/>
  <c r="P225" i="7"/>
  <c r="P224" i="7"/>
  <c r="P223" i="7"/>
  <c r="P222" i="7"/>
  <c r="P221" i="7"/>
  <c r="P220" i="7"/>
  <c r="D218" i="7"/>
  <c r="P217" i="7"/>
  <c r="G217" i="7"/>
  <c r="H217" i="7" s="1"/>
  <c r="P216" i="7"/>
  <c r="G216" i="7"/>
  <c r="H216" i="7" s="1"/>
  <c r="P214" i="7"/>
  <c r="P213" i="7"/>
  <c r="G213" i="7"/>
  <c r="H213" i="7" s="1"/>
  <c r="F211" i="7"/>
  <c r="D211" i="7"/>
  <c r="P210" i="7"/>
  <c r="P209" i="7" s="1"/>
  <c r="P208" i="7"/>
  <c r="P207" i="7"/>
  <c r="P206" i="7"/>
  <c r="P205" i="7"/>
  <c r="P204" i="7"/>
  <c r="G204" i="7"/>
  <c r="H204" i="7" s="1"/>
  <c r="F202" i="7"/>
  <c r="D202" i="7"/>
  <c r="P201" i="7"/>
  <c r="P200" i="7"/>
  <c r="P199" i="7"/>
  <c r="P197" i="7"/>
  <c r="P196" i="7"/>
  <c r="P194" i="7"/>
  <c r="P193" i="7" s="1"/>
  <c r="P192" i="7"/>
  <c r="P191" i="7"/>
  <c r="P189" i="7"/>
  <c r="P188" i="7"/>
  <c r="P187" i="7"/>
  <c r="P185" i="7"/>
  <c r="P184" i="7"/>
  <c r="P182" i="7"/>
  <c r="P181" i="7" s="1"/>
  <c r="P180" i="7"/>
  <c r="P179" i="7" s="1"/>
  <c r="P178" i="7"/>
  <c r="P177" i="7"/>
  <c r="P175" i="7"/>
  <c r="P174" i="7"/>
  <c r="F171" i="7"/>
  <c r="D171" i="7"/>
  <c r="P170" i="7"/>
  <c r="P169" i="7" s="1"/>
  <c r="E169" i="7" s="1"/>
  <c r="P168" i="7"/>
  <c r="P167" i="7"/>
  <c r="P166" i="7"/>
  <c r="P165" i="7"/>
  <c r="P163" i="7"/>
  <c r="P162" i="7" s="1"/>
  <c r="E162" i="7" s="1"/>
  <c r="P161" i="7"/>
  <c r="P160" i="7"/>
  <c r="P159" i="7"/>
  <c r="P158" i="7"/>
  <c r="P157" i="7"/>
  <c r="P156" i="7"/>
  <c r="P155" i="7"/>
  <c r="F152" i="7"/>
  <c r="D152" i="7"/>
  <c r="P151" i="7"/>
  <c r="P150" i="7"/>
  <c r="P149" i="7"/>
  <c r="P148" i="7"/>
  <c r="P146" i="7"/>
  <c r="P145" i="7" s="1"/>
  <c r="E145" i="7" s="1"/>
  <c r="P144" i="7"/>
  <c r="P143" i="7"/>
  <c r="P141" i="7"/>
  <c r="P140" i="7" s="1"/>
  <c r="P139" i="7"/>
  <c r="P138" i="7"/>
  <c r="P137" i="7"/>
  <c r="P136" i="7"/>
  <c r="P134" i="7"/>
  <c r="P133" i="7"/>
  <c r="D130" i="7"/>
  <c r="P129" i="7"/>
  <c r="G129" i="7"/>
  <c r="H129" i="7" s="1"/>
  <c r="P128" i="7"/>
  <c r="G128" i="7"/>
  <c r="H128" i="7" s="1"/>
  <c r="P126" i="7"/>
  <c r="P125" i="7"/>
  <c r="P123" i="7"/>
  <c r="P122" i="7"/>
  <c r="P121" i="7"/>
  <c r="P119" i="7"/>
  <c r="P118" i="7"/>
  <c r="P117" i="7"/>
  <c r="G117" i="7"/>
  <c r="H117" i="7" s="1"/>
  <c r="P115" i="7"/>
  <c r="P113" i="7" s="1"/>
  <c r="F112" i="7"/>
  <c r="D112" i="7"/>
  <c r="P111" i="7"/>
  <c r="P110" i="7" s="1"/>
  <c r="E110" i="7" s="1"/>
  <c r="P108" i="7"/>
  <c r="P107" i="7"/>
  <c r="P106" i="7"/>
  <c r="P105" i="7"/>
  <c r="P103" i="7"/>
  <c r="P102" i="7" s="1"/>
  <c r="E102" i="7" s="1"/>
  <c r="G102" i="7" s="1"/>
  <c r="H102" i="7" s="1"/>
  <c r="P101" i="7"/>
  <c r="G101" i="7"/>
  <c r="H101" i="7" s="1"/>
  <c r="P100" i="7"/>
  <c r="P99" i="7"/>
  <c r="P98" i="7"/>
  <c r="G98" i="7"/>
  <c r="H98" i="7" s="1"/>
  <c r="P96" i="7"/>
  <c r="P95" i="7"/>
  <c r="G95" i="7"/>
  <c r="H95" i="7" s="1"/>
  <c r="P93" i="7"/>
  <c r="G93" i="7"/>
  <c r="H93" i="7" s="1"/>
  <c r="P92" i="7"/>
  <c r="P91" i="7"/>
  <c r="P90" i="7"/>
  <c r="P89" i="7"/>
  <c r="F87" i="7"/>
  <c r="D87" i="7"/>
  <c r="P85" i="7"/>
  <c r="P84" i="7" s="1"/>
  <c r="E84" i="7" s="1"/>
  <c r="P83" i="7"/>
  <c r="P81" i="7" s="1"/>
  <c r="E81" i="7" s="1"/>
  <c r="G81" i="7" s="1"/>
  <c r="H81" i="7" s="1"/>
  <c r="P80" i="7"/>
  <c r="P79" i="7" s="1"/>
  <c r="F78" i="7"/>
  <c r="D78" i="7"/>
  <c r="P77" i="7"/>
  <c r="G77" i="7"/>
  <c r="H77" i="7" s="1"/>
  <c r="P76" i="7"/>
  <c r="G76" i="7"/>
  <c r="H76" i="7" s="1"/>
  <c r="P74" i="7"/>
  <c r="P73" i="7"/>
  <c r="P72" i="7"/>
  <c r="P70" i="7"/>
  <c r="P69" i="7"/>
  <c r="P66" i="7"/>
  <c r="P65" i="7"/>
  <c r="P64" i="7"/>
  <c r="P62" i="7"/>
  <c r="G62" i="7"/>
  <c r="H62" i="7" s="1"/>
  <c r="P61" i="7"/>
  <c r="G61" i="7"/>
  <c r="H61" i="7" s="1"/>
  <c r="P60" i="7"/>
  <c r="G60" i="7"/>
  <c r="H60" i="7" s="1"/>
  <c r="P58" i="7"/>
  <c r="G58" i="7"/>
  <c r="H58" i="7" s="1"/>
  <c r="P57" i="7"/>
  <c r="P56" i="7"/>
  <c r="G56" i="7"/>
  <c r="H56" i="7" s="1"/>
  <c r="P55" i="7"/>
  <c r="P54" i="7"/>
  <c r="G54" i="7"/>
  <c r="H54" i="7" s="1"/>
  <c r="P53" i="7"/>
  <c r="P51" i="7"/>
  <c r="P50" i="7" s="1"/>
  <c r="G51" i="7"/>
  <c r="H51" i="7" s="1"/>
  <c r="F49" i="7"/>
  <c r="D49" i="7"/>
  <c r="P48" i="7"/>
  <c r="G48" i="7"/>
  <c r="H48" i="7" s="1"/>
  <c r="P47" i="7"/>
  <c r="P46" i="7"/>
  <c r="G46" i="7"/>
  <c r="H46" i="7" s="1"/>
  <c r="P45" i="7"/>
  <c r="P44" i="7"/>
  <c r="G44" i="7"/>
  <c r="H44" i="7" s="1"/>
  <c r="P42" i="7"/>
  <c r="P41" i="7"/>
  <c r="P39" i="7"/>
  <c r="G39" i="7"/>
  <c r="H39" i="7" s="1"/>
  <c r="P38" i="7"/>
  <c r="G38" i="7"/>
  <c r="H38" i="7" s="1"/>
  <c r="F36" i="7"/>
  <c r="D36" i="7"/>
  <c r="P35" i="7"/>
  <c r="P34" i="7"/>
  <c r="P33" i="7"/>
  <c r="P32" i="7"/>
  <c r="P31" i="7"/>
  <c r="P30" i="7"/>
  <c r="G28" i="7"/>
  <c r="H28" i="7" s="1"/>
  <c r="G27" i="7"/>
  <c r="H27" i="7" s="1"/>
  <c r="G26" i="7"/>
  <c r="H26" i="7" s="1"/>
  <c r="G25" i="7"/>
  <c r="H25" i="7" s="1"/>
  <c r="G24" i="7"/>
  <c r="H24" i="7" s="1"/>
  <c r="G22" i="7"/>
  <c r="H22" i="7" s="1"/>
  <c r="P20" i="7"/>
  <c r="P19" i="7"/>
  <c r="P18" i="7"/>
  <c r="P17" i="7"/>
  <c r="P16" i="7"/>
  <c r="P15" i="7"/>
  <c r="P14" i="7"/>
  <c r="P12" i="7"/>
  <c r="P11" i="7"/>
  <c r="P10" i="7"/>
  <c r="P9" i="7"/>
  <c r="F7" i="7"/>
  <c r="D7" i="7"/>
  <c r="P98" i="6"/>
  <c r="G98" i="6"/>
  <c r="H98" i="6" s="1"/>
  <c r="P97" i="6"/>
  <c r="P96" i="6"/>
  <c r="P95" i="6"/>
  <c r="H95" i="6"/>
  <c r="P93" i="6"/>
  <c r="E93" i="6" s="1"/>
  <c r="P92" i="6"/>
  <c r="E92" i="6" s="1"/>
  <c r="D91" i="6"/>
  <c r="D90" i="6" s="1"/>
  <c r="F90" i="6"/>
  <c r="P89" i="6"/>
  <c r="E89" i="6" s="1"/>
  <c r="P88" i="6"/>
  <c r="E88" i="6" s="1"/>
  <c r="G88" i="6" s="1"/>
  <c r="H88" i="6" s="1"/>
  <c r="P87" i="6"/>
  <c r="F86" i="6"/>
  <c r="F85" i="6" s="1"/>
  <c r="D86" i="6"/>
  <c r="D85" i="6" s="1"/>
  <c r="P84" i="6"/>
  <c r="P83" i="6"/>
  <c r="P81" i="6"/>
  <c r="G81" i="6"/>
  <c r="P80" i="6"/>
  <c r="P78" i="6"/>
  <c r="P77" i="6"/>
  <c r="P75" i="6"/>
  <c r="G75" i="6"/>
  <c r="P74" i="6"/>
  <c r="G74" i="6"/>
  <c r="F72" i="6"/>
  <c r="F71" i="6" s="1"/>
  <c r="D72" i="6"/>
  <c r="D71" i="6" s="1"/>
  <c r="P70" i="6"/>
  <c r="P69" i="6"/>
  <c r="H69" i="6"/>
  <c r="P68" i="6"/>
  <c r="P67" i="6"/>
  <c r="P66" i="6"/>
  <c r="P65" i="6"/>
  <c r="H65" i="6"/>
  <c r="P64" i="6"/>
  <c r="G64" i="6"/>
  <c r="H64" i="6" s="1"/>
  <c r="P62" i="6"/>
  <c r="P61" i="6"/>
  <c r="P60" i="6"/>
  <c r="G60" i="6"/>
  <c r="F58" i="6"/>
  <c r="D58" i="6"/>
  <c r="P57" i="6"/>
  <c r="P56" i="6"/>
  <c r="P55" i="6"/>
  <c r="P54" i="6"/>
  <c r="P52" i="6"/>
  <c r="P51" i="6"/>
  <c r="P50" i="6"/>
  <c r="P49" i="6"/>
  <c r="P47" i="6"/>
  <c r="P46" i="6"/>
  <c r="P45" i="6"/>
  <c r="P44" i="6"/>
  <c r="P42" i="6"/>
  <c r="P41" i="6" s="1"/>
  <c r="F40" i="6"/>
  <c r="D40" i="6"/>
  <c r="P38" i="6"/>
  <c r="P37" i="6"/>
  <c r="F35" i="6"/>
  <c r="F34" i="6" s="1"/>
  <c r="D35" i="6"/>
  <c r="P33" i="6"/>
  <c r="E33" i="6" s="1"/>
  <c r="E32" i="6" s="1"/>
  <c r="F32" i="6"/>
  <c r="F31" i="6" s="1"/>
  <c r="D32" i="6"/>
  <c r="D31" i="6" s="1"/>
  <c r="P30" i="6"/>
  <c r="P29" i="6"/>
  <c r="P28" i="6"/>
  <c r="P27" i="6"/>
  <c r="P26" i="6"/>
  <c r="P25" i="6"/>
  <c r="D23" i="6"/>
  <c r="D22" i="6" s="1"/>
  <c r="P21" i="6"/>
  <c r="P20" i="6" s="1"/>
  <c r="E20" i="6" s="1"/>
  <c r="P19" i="6"/>
  <c r="P18" i="6"/>
  <c r="P17" i="6"/>
  <c r="P15" i="6"/>
  <c r="P14" i="6"/>
  <c r="P13" i="6"/>
  <c r="P12" i="6"/>
  <c r="P11" i="6"/>
  <c r="P10" i="6"/>
  <c r="F8" i="6"/>
  <c r="F7" i="6" s="1"/>
  <c r="D8" i="6"/>
  <c r="D7" i="6" s="1"/>
  <c r="F6" i="6"/>
  <c r="P36" i="6" l="1"/>
  <c r="E36" i="6" s="1"/>
  <c r="G348" i="7"/>
  <c r="H348" i="7" s="1"/>
  <c r="P195" i="7"/>
  <c r="G276" i="7"/>
  <c r="H276" i="7" s="1"/>
  <c r="G358" i="7"/>
  <c r="H358" i="7" s="1"/>
  <c r="G285" i="7"/>
  <c r="H285" i="7" s="1"/>
  <c r="P73" i="6"/>
  <c r="E73" i="6" s="1"/>
  <c r="P82" i="6"/>
  <c r="E82" i="6" s="1"/>
  <c r="P190" i="7"/>
  <c r="G364" i="7"/>
  <c r="H364" i="7" s="1"/>
  <c r="G336" i="7"/>
  <c r="H336" i="7" s="1"/>
  <c r="G284" i="7"/>
  <c r="H284" i="7" s="1"/>
  <c r="G342" i="7"/>
  <c r="H342" i="7" s="1"/>
  <c r="P94" i="7"/>
  <c r="E94" i="7" s="1"/>
  <c r="G94" i="7" s="1"/>
  <c r="H94" i="7" s="1"/>
  <c r="P186" i="7"/>
  <c r="P142" i="7"/>
  <c r="E142" i="7" s="1"/>
  <c r="G142" i="7" s="1"/>
  <c r="H142" i="7" s="1"/>
  <c r="G334" i="7"/>
  <c r="H334" i="7" s="1"/>
  <c r="G366" i="7"/>
  <c r="H366" i="7" s="1"/>
  <c r="G287" i="7"/>
  <c r="H287" i="7" s="1"/>
  <c r="G360" i="7"/>
  <c r="H360" i="7" s="1"/>
  <c r="G328" i="7"/>
  <c r="H328" i="7" s="1"/>
  <c r="D6" i="7"/>
  <c r="P104" i="7"/>
  <c r="E104" i="7" s="1"/>
  <c r="G104" i="7" s="1"/>
  <c r="H104" i="7" s="1"/>
  <c r="G32" i="6"/>
  <c r="P132" i="7"/>
  <c r="E383" i="7"/>
  <c r="G383" i="7" s="1"/>
  <c r="H383" i="7" s="1"/>
  <c r="G291" i="7"/>
  <c r="H291" i="7" s="1"/>
  <c r="G338" i="7"/>
  <c r="H338" i="7" s="1"/>
  <c r="G370" i="7"/>
  <c r="H370" i="7" s="1"/>
  <c r="G354" i="7"/>
  <c r="H354" i="7" s="1"/>
  <c r="P63" i="7"/>
  <c r="P135" i="7"/>
  <c r="P131" i="7" s="1"/>
  <c r="P147" i="7"/>
  <c r="E147" i="7" s="1"/>
  <c r="G147" i="7" s="1"/>
  <c r="H147" i="7" s="1"/>
  <c r="P198" i="7"/>
  <c r="E198" i="7" s="1"/>
  <c r="F86" i="7"/>
  <c r="P164" i="7"/>
  <c r="E164" i="7" s="1"/>
  <c r="P234" i="7"/>
  <c r="E234" i="7" s="1"/>
  <c r="G234" i="7" s="1"/>
  <c r="H234" i="7" s="1"/>
  <c r="P258" i="7"/>
  <c r="P257" i="7" s="1"/>
  <c r="P124" i="7"/>
  <c r="P183" i="7"/>
  <c r="P52" i="7"/>
  <c r="G84" i="7"/>
  <c r="H84" i="7" s="1"/>
  <c r="P75" i="7"/>
  <c r="P67" i="7"/>
  <c r="E67" i="7" s="1"/>
  <c r="G67" i="7" s="1"/>
  <c r="H67" i="7" s="1"/>
  <c r="P40" i="7"/>
  <c r="E40" i="7" s="1"/>
  <c r="E31" i="6"/>
  <c r="G31" i="6" s="1"/>
  <c r="D34" i="6"/>
  <c r="P43" i="6"/>
  <c r="E43" i="6" s="1"/>
  <c r="G43" i="6" s="1"/>
  <c r="H43" i="6" s="1"/>
  <c r="P48" i="6"/>
  <c r="E48" i="6" s="1"/>
  <c r="G48" i="6" s="1"/>
  <c r="H48" i="6" s="1"/>
  <c r="P9" i="6"/>
  <c r="F39" i="6"/>
  <c r="P16" i="6"/>
  <c r="E16" i="6" s="1"/>
  <c r="G289" i="7"/>
  <c r="H289" i="7" s="1"/>
  <c r="G325" i="7"/>
  <c r="H325" i="7" s="1"/>
  <c r="G333" i="7"/>
  <c r="H333" i="7" s="1"/>
  <c r="G341" i="7"/>
  <c r="H341" i="7" s="1"/>
  <c r="G357" i="7"/>
  <c r="H357" i="7" s="1"/>
  <c r="G365" i="7"/>
  <c r="H365" i="7" s="1"/>
  <c r="G89" i="6"/>
  <c r="H89" i="6" s="1"/>
  <c r="G145" i="7"/>
  <c r="H145" i="7" s="1"/>
  <c r="G162" i="7"/>
  <c r="H162" i="7" s="1"/>
  <c r="E269" i="7"/>
  <c r="P268" i="7"/>
  <c r="G277" i="7"/>
  <c r="H277" i="7" s="1"/>
  <c r="G295" i="7"/>
  <c r="H295" i="7" s="1"/>
  <c r="G299" i="7"/>
  <c r="H299" i="7" s="1"/>
  <c r="G303" i="7"/>
  <c r="H303" i="7" s="1"/>
  <c r="G307" i="7"/>
  <c r="H307" i="7" s="1"/>
  <c r="G310" i="7"/>
  <c r="H310" i="7" s="1"/>
  <c r="G323" i="7"/>
  <c r="H323" i="7" s="1"/>
  <c r="G331" i="7"/>
  <c r="H331" i="7" s="1"/>
  <c r="G339" i="7"/>
  <c r="H339" i="7" s="1"/>
  <c r="G355" i="7"/>
  <c r="H355" i="7" s="1"/>
  <c r="G363" i="7"/>
  <c r="H363" i="7" s="1"/>
  <c r="E9" i="6"/>
  <c r="G9" i="6" s="1"/>
  <c r="H9" i="6" s="1"/>
  <c r="G82" i="6"/>
  <c r="H82" i="6" s="1"/>
  <c r="G288" i="7"/>
  <c r="H288" i="7" s="1"/>
  <c r="G290" i="7"/>
  <c r="H290" i="7" s="1"/>
  <c r="G329" i="7"/>
  <c r="H329" i="7" s="1"/>
  <c r="G337" i="7"/>
  <c r="H337" i="7" s="1"/>
  <c r="G353" i="7"/>
  <c r="H353" i="7" s="1"/>
  <c r="G361" i="7"/>
  <c r="H361" i="7" s="1"/>
  <c r="G73" i="6"/>
  <c r="H73" i="6" s="1"/>
  <c r="G271" i="7"/>
  <c r="H271" i="7" s="1"/>
  <c r="G335" i="7"/>
  <c r="H335" i="7" s="1"/>
  <c r="G343" i="7"/>
  <c r="H343" i="7" s="1"/>
  <c r="G351" i="7"/>
  <c r="H351" i="7" s="1"/>
  <c r="G359" i="7"/>
  <c r="H359" i="7" s="1"/>
  <c r="G33" i="6"/>
  <c r="P116" i="7"/>
  <c r="P203" i="7"/>
  <c r="P247" i="7"/>
  <c r="E247" i="7" s="1"/>
  <c r="G247" i="7" s="1"/>
  <c r="H247" i="7" s="1"/>
  <c r="P94" i="6"/>
  <c r="P91" i="6" s="1"/>
  <c r="P90" i="6" s="1"/>
  <c r="P8" i="7"/>
  <c r="P29" i="7"/>
  <c r="P88" i="7"/>
  <c r="P97" i="7"/>
  <c r="P120" i="7"/>
  <c r="D86" i="7"/>
  <c r="D5" i="7" s="1"/>
  <c r="P173" i="7"/>
  <c r="P212" i="7"/>
  <c r="E212" i="7" s="1"/>
  <c r="G212" i="7" s="1"/>
  <c r="H212" i="7" s="1"/>
  <c r="P375" i="7"/>
  <c r="P24" i="6"/>
  <c r="E24" i="6" s="1"/>
  <c r="P32" i="6"/>
  <c r="P31" i="6" s="1"/>
  <c r="P53" i="6"/>
  <c r="E53" i="6" s="1"/>
  <c r="G53" i="6" s="1"/>
  <c r="H53" i="6" s="1"/>
  <c r="D39" i="6"/>
  <c r="D6" i="6" s="1"/>
  <c r="P13" i="7"/>
  <c r="P37" i="7"/>
  <c r="P43" i="7"/>
  <c r="P59" i="7"/>
  <c r="P154" i="7"/>
  <c r="P153" i="7" s="1"/>
  <c r="P238" i="7"/>
  <c r="P79" i="6"/>
  <c r="E79" i="6" s="1"/>
  <c r="G79" i="6" s="1"/>
  <c r="H79" i="6" s="1"/>
  <c r="P76" i="6"/>
  <c r="E76" i="6" s="1"/>
  <c r="G76" i="6" s="1"/>
  <c r="H76" i="6" s="1"/>
  <c r="P59" i="6"/>
  <c r="E59" i="6" s="1"/>
  <c r="G59" i="6" s="1"/>
  <c r="H59" i="6" s="1"/>
  <c r="G36" i="6"/>
  <c r="H36" i="6" s="1"/>
  <c r="E35" i="6"/>
  <c r="G110" i="7"/>
  <c r="H110" i="7" s="1"/>
  <c r="E209" i="7"/>
  <c r="G209" i="7" s="1"/>
  <c r="H209" i="7" s="1"/>
  <c r="E8" i="7"/>
  <c r="P35" i="6"/>
  <c r="P34" i="6" s="1"/>
  <c r="E87" i="6"/>
  <c r="P86" i="6"/>
  <c r="P85" i="6" s="1"/>
  <c r="E43" i="7"/>
  <c r="G43" i="7" s="1"/>
  <c r="H43" i="7" s="1"/>
  <c r="E97" i="7"/>
  <c r="G97" i="7" s="1"/>
  <c r="H97" i="7" s="1"/>
  <c r="G169" i="7"/>
  <c r="H169" i="7" s="1"/>
  <c r="E79" i="7"/>
  <c r="P78" i="7"/>
  <c r="E113" i="7"/>
  <c r="G113" i="7" s="1"/>
  <c r="H113" i="7" s="1"/>
  <c r="E238" i="7"/>
  <c r="G311" i="7"/>
  <c r="H311" i="7" s="1"/>
  <c r="E50" i="7"/>
  <c r="E63" i="7"/>
  <c r="G63" i="7" s="1"/>
  <c r="H63" i="7" s="1"/>
  <c r="G282" i="7"/>
  <c r="H282" i="7" s="1"/>
  <c r="G16" i="6"/>
  <c r="H16" i="6" s="1"/>
  <c r="G20" i="6"/>
  <c r="H20" i="6" s="1"/>
  <c r="P63" i="6"/>
  <c r="G275" i="7"/>
  <c r="H275" i="7" s="1"/>
  <c r="G279" i="7"/>
  <c r="H279" i="7" s="1"/>
  <c r="F6" i="7"/>
  <c r="P215" i="7"/>
  <c r="E215" i="7" s="1"/>
  <c r="P127" i="7"/>
  <c r="G315" i="7"/>
  <c r="H315" i="7" s="1"/>
  <c r="G92" i="6"/>
  <c r="H92" i="6" s="1"/>
  <c r="G93" i="6"/>
  <c r="H93" i="6" s="1"/>
  <c r="E29" i="7"/>
  <c r="G29" i="7" s="1"/>
  <c r="H29" i="7" s="1"/>
  <c r="E258" i="7"/>
  <c r="F23" i="6"/>
  <c r="F22" i="6" s="1"/>
  <c r="E41" i="6"/>
  <c r="P253" i="7"/>
  <c r="P263" i="7"/>
  <c r="E274" i="7"/>
  <c r="P273" i="7"/>
  <c r="E273" i="7" s="1"/>
  <c r="G273" i="7" s="1"/>
  <c r="H273" i="7" s="1"/>
  <c r="G319" i="7"/>
  <c r="H319" i="7" s="1"/>
  <c r="P176" i="7"/>
  <c r="P219" i="7"/>
  <c r="P228" i="7"/>
  <c r="P241" i="7"/>
  <c r="E241" i="7" s="1"/>
  <c r="E375" i="7" l="1"/>
  <c r="P374" i="7"/>
  <c r="J24" i="7"/>
  <c r="J27" i="7"/>
  <c r="P172" i="7"/>
  <c r="E172" i="7" s="1"/>
  <c r="E88" i="7"/>
  <c r="G88" i="7" s="1"/>
  <c r="H88" i="7" s="1"/>
  <c r="G164" i="7"/>
  <c r="H164" i="7" s="1"/>
  <c r="P202" i="7"/>
  <c r="E203" i="7"/>
  <c r="E202" i="7" s="1"/>
  <c r="G202" i="7" s="1"/>
  <c r="H202" i="7" s="1"/>
  <c r="G40" i="7"/>
  <c r="H40" i="7" s="1"/>
  <c r="G198" i="7"/>
  <c r="H198" i="7" s="1"/>
  <c r="P112" i="7"/>
  <c r="E112" i="7" s="1"/>
  <c r="G112" i="7" s="1"/>
  <c r="H112" i="7" s="1"/>
  <c r="F5" i="7"/>
  <c r="E52" i="7"/>
  <c r="G52" i="7" s="1"/>
  <c r="H52" i="7" s="1"/>
  <c r="P87" i="7"/>
  <c r="P8" i="6"/>
  <c r="P7" i="6" s="1"/>
  <c r="P40" i="6"/>
  <c r="E8" i="6"/>
  <c r="G8" i="6" s="1"/>
  <c r="H8" i="6" s="1"/>
  <c r="P36" i="7"/>
  <c r="E94" i="6"/>
  <c r="G94" i="6" s="1"/>
  <c r="H94" i="6" s="1"/>
  <c r="E124" i="7"/>
  <c r="G124" i="7" s="1"/>
  <c r="H124" i="7" s="1"/>
  <c r="E59" i="7"/>
  <c r="G59" i="7" s="1"/>
  <c r="H59" i="7" s="1"/>
  <c r="J22" i="7"/>
  <c r="P22" i="7" s="1"/>
  <c r="P21" i="7" s="1"/>
  <c r="E21" i="7" s="1"/>
  <c r="G21" i="7" s="1"/>
  <c r="H21" i="7" s="1"/>
  <c r="E75" i="7"/>
  <c r="G75" i="7" s="1"/>
  <c r="H75" i="7" s="1"/>
  <c r="E37" i="7"/>
  <c r="E36" i="7" s="1"/>
  <c r="G36" i="7" s="1"/>
  <c r="H36" i="7" s="1"/>
  <c r="P72" i="6"/>
  <c r="P71" i="6" s="1"/>
  <c r="P23" i="6"/>
  <c r="P22" i="6" s="1"/>
  <c r="E116" i="7"/>
  <c r="G116" i="7" s="1"/>
  <c r="H116" i="7" s="1"/>
  <c r="G269" i="7"/>
  <c r="H269" i="7" s="1"/>
  <c r="E268" i="7"/>
  <c r="G268" i="7" s="1"/>
  <c r="H268" i="7" s="1"/>
  <c r="P49" i="7"/>
  <c r="E13" i="7"/>
  <c r="G13" i="7" s="1"/>
  <c r="H13" i="7" s="1"/>
  <c r="G24" i="6"/>
  <c r="H24" i="6" s="1"/>
  <c r="E23" i="6"/>
  <c r="E120" i="7"/>
  <c r="G120" i="7" s="1"/>
  <c r="H120" i="7" s="1"/>
  <c r="E153" i="7"/>
  <c r="P152" i="7"/>
  <c r="P171" i="7"/>
  <c r="G274" i="7"/>
  <c r="H274" i="7" s="1"/>
  <c r="G258" i="7"/>
  <c r="H258" i="7" s="1"/>
  <c r="E257" i="7"/>
  <c r="G257" i="7" s="1"/>
  <c r="H257" i="7" s="1"/>
  <c r="E63" i="6"/>
  <c r="P58" i="6"/>
  <c r="G50" i="7"/>
  <c r="H50" i="7" s="1"/>
  <c r="G238" i="7"/>
  <c r="H238" i="7" s="1"/>
  <c r="E237" i="7"/>
  <c r="G237" i="7" s="1"/>
  <c r="H237" i="7" s="1"/>
  <c r="E263" i="7"/>
  <c r="P262" i="7"/>
  <c r="E40" i="6"/>
  <c r="G41" i="6"/>
  <c r="H41" i="6" s="1"/>
  <c r="P237" i="7"/>
  <c r="G79" i="7"/>
  <c r="H79" i="7" s="1"/>
  <c r="E78" i="7"/>
  <c r="G78" i="7" s="1"/>
  <c r="H78" i="7" s="1"/>
  <c r="G241" i="7"/>
  <c r="H241" i="7" s="1"/>
  <c r="E131" i="7"/>
  <c r="P130" i="7"/>
  <c r="E130" i="7" s="1"/>
  <c r="G130" i="7" s="1"/>
  <c r="H130" i="7" s="1"/>
  <c r="E91" i="6"/>
  <c r="G215" i="7"/>
  <c r="H215" i="7" s="1"/>
  <c r="E211" i="7"/>
  <c r="G211" i="7" s="1"/>
  <c r="H211" i="7" s="1"/>
  <c r="G8" i="7"/>
  <c r="H8" i="7" s="1"/>
  <c r="P227" i="7"/>
  <c r="E228" i="7"/>
  <c r="E253" i="7"/>
  <c r="P246" i="7"/>
  <c r="G87" i="6"/>
  <c r="H87" i="6" s="1"/>
  <c r="E86" i="6"/>
  <c r="P24" i="7"/>
  <c r="J25" i="7"/>
  <c r="P25" i="7" s="1"/>
  <c r="J26" i="7" s="1"/>
  <c r="P26" i="7" s="1"/>
  <c r="E219" i="7"/>
  <c r="P218" i="7"/>
  <c r="E218" i="7" s="1"/>
  <c r="G218" i="7" s="1"/>
  <c r="H218" i="7" s="1"/>
  <c r="P211" i="7"/>
  <c r="E127" i="7"/>
  <c r="G127" i="7" s="1"/>
  <c r="H127" i="7" s="1"/>
  <c r="G375" i="7"/>
  <c r="H375" i="7" s="1"/>
  <c r="E374" i="7"/>
  <c r="G374" i="7" s="1"/>
  <c r="H374" i="7" s="1"/>
  <c r="P27" i="7"/>
  <c r="J28" i="7"/>
  <c r="P28" i="7" s="1"/>
  <c r="G35" i="6"/>
  <c r="H35" i="6" s="1"/>
  <c r="E34" i="6"/>
  <c r="G34" i="6" s="1"/>
  <c r="H34" i="6" s="1"/>
  <c r="G203" i="7" l="1"/>
  <c r="H203" i="7" s="1"/>
  <c r="E87" i="7"/>
  <c r="G87" i="7" s="1"/>
  <c r="H87" i="7" s="1"/>
  <c r="E7" i="6"/>
  <c r="G37" i="7"/>
  <c r="H37" i="7" s="1"/>
  <c r="E49" i="7"/>
  <c r="G49" i="7" s="1"/>
  <c r="H49" i="7" s="1"/>
  <c r="P39" i="6"/>
  <c r="P6" i="6" s="1"/>
  <c r="E72" i="6"/>
  <c r="G72" i="6" s="1"/>
  <c r="H72" i="6" s="1"/>
  <c r="G23" i="6"/>
  <c r="H23" i="6" s="1"/>
  <c r="E22" i="6"/>
  <c r="G22" i="6" s="1"/>
  <c r="H22" i="6" s="1"/>
  <c r="E152" i="7"/>
  <c r="G152" i="7" s="1"/>
  <c r="H152" i="7" s="1"/>
  <c r="G153" i="7"/>
  <c r="H153" i="7" s="1"/>
  <c r="E85" i="6"/>
  <c r="G85" i="6" s="1"/>
  <c r="H85" i="6" s="1"/>
  <c r="G86" i="6"/>
  <c r="H86" i="6" s="1"/>
  <c r="E227" i="7"/>
  <c r="G227" i="7" s="1"/>
  <c r="H227" i="7" s="1"/>
  <c r="G228" i="7"/>
  <c r="H228" i="7" s="1"/>
  <c r="G40" i="6"/>
  <c r="H40" i="6" s="1"/>
  <c r="G131" i="7"/>
  <c r="H131" i="7" s="1"/>
  <c r="P86" i="7"/>
  <c r="E171" i="7"/>
  <c r="G171" i="7" s="1"/>
  <c r="H171" i="7" s="1"/>
  <c r="G172" i="7"/>
  <c r="H172" i="7" s="1"/>
  <c r="G219" i="7"/>
  <c r="H219" i="7" s="1"/>
  <c r="G91" i="6"/>
  <c r="E90" i="6"/>
  <c r="P23" i="7"/>
  <c r="G7" i="6"/>
  <c r="H7" i="6" s="1"/>
  <c r="G253" i="7"/>
  <c r="H253" i="7" s="1"/>
  <c r="E246" i="7"/>
  <c r="G246" i="7" s="1"/>
  <c r="H246" i="7" s="1"/>
  <c r="G263" i="7"/>
  <c r="H263" i="7" s="1"/>
  <c r="E262" i="7"/>
  <c r="G262" i="7" s="1"/>
  <c r="H262" i="7" s="1"/>
  <c r="E58" i="6"/>
  <c r="G58" i="6" s="1"/>
  <c r="H58" i="6" s="1"/>
  <c r="G63" i="6"/>
  <c r="H63" i="6" s="1"/>
  <c r="E71" i="6" l="1"/>
  <c r="G71" i="6" s="1"/>
  <c r="H71" i="6" s="1"/>
  <c r="E39" i="6"/>
  <c r="G39" i="6" s="1"/>
  <c r="H39" i="6" s="1"/>
  <c r="G90" i="6"/>
  <c r="H90" i="6" s="1"/>
  <c r="H91" i="6"/>
  <c r="E86" i="7"/>
  <c r="G86" i="7" s="1"/>
  <c r="H86" i="7" s="1"/>
  <c r="E23" i="7"/>
  <c r="P7" i="7"/>
  <c r="P6" i="7" s="1"/>
  <c r="P5" i="7" s="1"/>
  <c r="E6" i="6" l="1"/>
  <c r="G6" i="6" s="1"/>
  <c r="H6" i="6" s="1"/>
  <c r="G23" i="7"/>
  <c r="H23" i="7" s="1"/>
  <c r="E7" i="7"/>
  <c r="G7" i="7" l="1"/>
  <c r="H7" i="7" s="1"/>
  <c r="E6" i="7"/>
  <c r="E5" i="7" l="1"/>
  <c r="G5" i="7" s="1"/>
  <c r="H5" i="7" s="1"/>
  <c r="G6" i="7"/>
  <c r="H6" i="7" s="1"/>
</calcChain>
</file>

<file path=xl/sharedStrings.xml><?xml version="1.0" encoding="utf-8"?>
<sst xmlns="http://schemas.openxmlformats.org/spreadsheetml/2006/main" count="2683" uniqueCount="548">
  <si>
    <t>장애인의날행사비 5,000천원+바오로교실기능보강 4,000천원</t>
  </si>
  <si>
    <t>제2조 1. 세입ㆍ세출의 명세는 세입ㆍ세출 예산서와 같다.</t>
  </si>
  <si>
    <t xml:space="preserve">2012년 11월 집행액(C)
</t>
  </si>
  <si>
    <t>카사지센 사업비 지원(자부담)</t>
  </si>
  <si>
    <t>사랑손신축 가스, 전기,수도인입공사</t>
  </si>
  <si>
    <t xml:space="preserve"> - 지역아동센터종사자처우개선</t>
  </si>
  <si>
    <t xml:space="preserve">  1. 연수및 카리타스한마당</t>
  </si>
  <si>
    <t>동자동 임대수입(1층,지하층)</t>
  </si>
  <si>
    <t xml:space="preserve"> 사회복지회 사제 급여 지원금</t>
  </si>
  <si>
    <t xml:space="preserve"> - 주교회의 교육및행정분과교육지원</t>
  </si>
  <si>
    <t xml:space="preserve">3. 세출의 내용은 다음과 같다. </t>
  </si>
  <si>
    <t>온라인모금(해피빈, 신한아름인)</t>
  </si>
  <si>
    <t>긴급재난지원사업비(노숙인지원)</t>
  </si>
  <si>
    <t xml:space="preserve"> - 영상제작 및 온라인매체 홍보비</t>
  </si>
  <si>
    <t>성무활동비 및 미사예물(사제)</t>
  </si>
  <si>
    <t xml:space="preserve"> - 정체성1단계(사회복지사)</t>
  </si>
  <si>
    <t>양초사업 대출금 상환 관련 수입</t>
  </si>
  <si>
    <t>2019년한마음지원금 잔액반환</t>
  </si>
  <si>
    <t>탈북민창업지원사업(서민금융진흥원)</t>
  </si>
  <si>
    <t>2019년 경동제약기탁금 잔액반환</t>
  </si>
  <si>
    <t>2020년 제4차 추가경정예산 총칙</t>
  </si>
  <si>
    <t>세출경비가 부족할 경우에는 사회복지법인 및 사회복지시설 재무회계규칙 제 16조에 의거하여 예산을 전용할 수 있다.</t>
  </si>
  <si>
    <t>국가 또는 지자체로부터 교부된 보조금 및 수익자 부담경비, 후원금 등은 추가경정예산 성립 이전에 사용할 수 있으며</t>
  </si>
  <si>
    <t>정체성2단계</t>
  </si>
  <si>
    <t>법인 행사비</t>
  </si>
  <si>
    <t>생명대행진</t>
  </si>
  <si>
    <t>출판사업</t>
  </si>
  <si>
    <t>협의회모금</t>
  </si>
  <si>
    <t>혼배기부사업비</t>
  </si>
  <si>
    <t xml:space="preserve"> - 정책제안</t>
  </si>
  <si>
    <t>디딤자리</t>
  </si>
  <si>
    <t>교구지원금</t>
  </si>
  <si>
    <t>신규후원자관리</t>
  </si>
  <si>
    <t>사업평가회</t>
  </si>
  <si>
    <t>지로모금사업비</t>
  </si>
  <si>
    <t>인준단체</t>
  </si>
  <si>
    <t>시설전출금</t>
  </si>
  <si>
    <t>인터넷사용료</t>
  </si>
  <si>
    <t>諸유지보수비</t>
  </si>
  <si>
    <t>기타지원금</t>
  </si>
  <si>
    <t>기관운영비</t>
  </si>
  <si>
    <t>등록단체관리</t>
  </si>
  <si>
    <t>증감(B-A)</t>
  </si>
  <si>
    <t>전례준비비</t>
  </si>
  <si>
    <t>기타 시설비</t>
  </si>
  <si>
    <t>사업관리</t>
  </si>
  <si>
    <t>홍보출판</t>
  </si>
  <si>
    <t>물품후원탁송료</t>
  </si>
  <si>
    <t>세실리아장학금</t>
  </si>
  <si>
    <t>교육사업</t>
  </si>
  <si>
    <t>이사회 회의비</t>
  </si>
  <si>
    <t>소  계</t>
  </si>
  <si>
    <t>자기개발과정</t>
  </si>
  <si>
    <t>복지사업</t>
  </si>
  <si>
    <t>재난재해</t>
  </si>
  <si>
    <t>기타추진비</t>
  </si>
  <si>
    <t>교구보조금</t>
  </si>
  <si>
    <t>본당지원금</t>
  </si>
  <si>
    <t>모금사업</t>
  </si>
  <si>
    <t xml:space="preserve">제1조 </t>
  </si>
  <si>
    <t>정체성3단계</t>
  </si>
  <si>
    <t>차량유지비</t>
  </si>
  <si>
    <t>재산수입</t>
  </si>
  <si>
    <t>총  계</t>
  </si>
  <si>
    <t>제세공과금</t>
  </si>
  <si>
    <t>과년도수입</t>
  </si>
  <si>
    <t>본인대학학자금</t>
  </si>
  <si>
    <t>성모영보장학회</t>
  </si>
  <si>
    <t>말가리다장학회</t>
  </si>
  <si>
    <t>우편물발송비</t>
  </si>
  <si>
    <t>모금관리</t>
  </si>
  <si>
    <t>정근수당</t>
  </si>
  <si>
    <t>부채상환금</t>
  </si>
  <si>
    <t>재해복구비</t>
  </si>
  <si>
    <t>공공요금</t>
  </si>
  <si>
    <t>원당어린이집</t>
  </si>
  <si>
    <t>임대수입</t>
  </si>
  <si>
    <t>자산취득비</t>
  </si>
  <si>
    <t>장학금 지급</t>
  </si>
  <si>
    <t>예금이자수입</t>
  </si>
  <si>
    <t>후원자관리</t>
  </si>
  <si>
    <t>종사자
교육비</t>
  </si>
  <si>
    <t>기타잡수입</t>
  </si>
  <si>
    <t>선교200주년</t>
  </si>
  <si>
    <t>기타후생비</t>
  </si>
  <si>
    <t>대외협력사업</t>
  </si>
  <si>
    <t>1) 재산수입</t>
  </si>
  <si>
    <t>보미나어린이집</t>
  </si>
  <si>
    <t>기타수수료</t>
  </si>
  <si>
    <t>한마음지원금</t>
  </si>
  <si>
    <t>지정후원이월금</t>
  </si>
  <si>
    <t>1) 사무비</t>
  </si>
  <si>
    <t>지정후원금</t>
  </si>
  <si>
    <t>금전출납</t>
  </si>
  <si>
    <t>해그린어린이집</t>
  </si>
  <si>
    <t>도곡어린이집</t>
  </si>
  <si>
    <t>6) 상환금</t>
  </si>
  <si>
    <t>요안나장학회</t>
  </si>
  <si>
    <t>해뜨락어린이집</t>
  </si>
  <si>
    <t>재산세 등</t>
  </si>
  <si>
    <t>보조금수입</t>
  </si>
  <si>
    <t>퇴직연금</t>
  </si>
  <si>
    <t>교육사업수입</t>
  </si>
  <si>
    <t>지역사회모금</t>
  </si>
  <si>
    <t>5) 후원금</t>
  </si>
  <si>
    <t>강서푸드마켓</t>
  </si>
  <si>
    <t>본당모금사업</t>
  </si>
  <si>
    <t>지정후원예비비</t>
  </si>
  <si>
    <t>교육자문위원회</t>
  </si>
  <si>
    <t>목동어린이집</t>
  </si>
  <si>
    <t>송화어린이집</t>
  </si>
  <si>
    <t>법인재산관리비</t>
  </si>
  <si>
    <t>특별지원사업</t>
  </si>
  <si>
    <t>기타예비비</t>
  </si>
  <si>
    <t>지로후원</t>
  </si>
  <si>
    <t>연화어린이집</t>
  </si>
  <si>
    <t>성동노인복지관</t>
  </si>
  <si>
    <t>소모품비</t>
  </si>
  <si>
    <t>3) 사업비</t>
  </si>
  <si>
    <t>산재보험</t>
  </si>
  <si>
    <t>한빛어린이집</t>
  </si>
  <si>
    <t>국민연금</t>
  </si>
  <si>
    <t>운영위원회의</t>
  </si>
  <si>
    <t>2) 사업수입</t>
  </si>
  <si>
    <t>고용보험</t>
  </si>
  <si>
    <t>마천어린이집</t>
  </si>
  <si>
    <t>5) 잡지출</t>
  </si>
  <si>
    <t>자부담이월금</t>
  </si>
  <si>
    <t xml:space="preserve">제4조 </t>
  </si>
  <si>
    <t>법인세환급금</t>
  </si>
  <si>
    <t>방배어린이집</t>
  </si>
  <si>
    <t>공모사업지원금</t>
  </si>
  <si>
    <t xml:space="preserve">제5조 </t>
  </si>
  <si>
    <t>금천노인복지관</t>
  </si>
  <si>
    <t>유락종합복지관</t>
  </si>
  <si>
    <t>동작종합복지관</t>
  </si>
  <si>
    <t>지원사업</t>
  </si>
  <si>
    <t>기타보조금수입</t>
  </si>
  <si>
    <t>고덕양로원</t>
  </si>
  <si>
    <t>비율(%)</t>
  </si>
  <si>
    <t>기타재산수입</t>
  </si>
  <si>
    <t>4) 전입금</t>
  </si>
  <si>
    <t>상계종합복지관</t>
  </si>
  <si>
    <t>성지보호작업장</t>
  </si>
  <si>
    <t>8) 잡수입</t>
  </si>
  <si>
    <t>한빛종합복지관</t>
  </si>
  <si>
    <t>사업수입</t>
  </si>
  <si>
    <t>3) 보조금</t>
  </si>
  <si>
    <t>재가특별지원</t>
  </si>
  <si>
    <t>마음자리</t>
  </si>
  <si>
    <t>홍보동영상</t>
  </si>
  <si>
    <t>시설지정기탁</t>
  </si>
  <si>
    <t>햇빛자리</t>
  </si>
  <si>
    <t>기말수당</t>
  </si>
  <si>
    <t>자기계발비</t>
  </si>
  <si>
    <t>요양보험</t>
  </si>
  <si>
    <t>직책보조비</t>
  </si>
  <si>
    <t>정기업무점검</t>
  </si>
  <si>
    <t>한가족장학회</t>
  </si>
  <si>
    <t>상계동성당데이</t>
  </si>
  <si>
    <t>은도어린이집</t>
  </si>
  <si>
    <t>중곡종합복지관</t>
  </si>
  <si>
    <t>해든어린이집</t>
  </si>
  <si>
    <t>기타운영비</t>
  </si>
  <si>
    <t>건강보험</t>
  </si>
  <si>
    <t>시설장비유지비</t>
  </si>
  <si>
    <t>장학금지급</t>
  </si>
  <si>
    <t>차량유류대</t>
  </si>
  <si>
    <t>성가정입양원</t>
  </si>
  <si>
    <t>전문가 자문비</t>
  </si>
  <si>
    <t>고척동성당데이</t>
  </si>
  <si>
    <t>서민금융진흥원</t>
  </si>
  <si>
    <t>한국카리타스</t>
  </si>
  <si>
    <t>고충처리위원회</t>
  </si>
  <si>
    <t>CMS관리비</t>
  </si>
  <si>
    <t>기타후생경비</t>
  </si>
  <si>
    <t>서리풀주간보호</t>
  </si>
  <si>
    <t>왕십리성당데이</t>
  </si>
  <si>
    <t>비둘기주간보호</t>
  </si>
  <si>
    <t>구파발성당데이</t>
  </si>
  <si>
    <t>사제공제회비</t>
  </si>
  <si>
    <t>및 기타</t>
  </si>
  <si>
    <t>혜화동데이케어</t>
  </si>
  <si>
    <t>대외협력
사업</t>
  </si>
  <si>
    <t>신망애의집</t>
  </si>
  <si>
    <t>홍보물 제작</t>
  </si>
  <si>
    <t>상일어린이집</t>
  </si>
  <si>
    <t>우리들의공부방</t>
  </si>
  <si>
    <t>신당종합복지관</t>
  </si>
  <si>
    <t>계좌입금 후원</t>
  </si>
  <si>
    <t>소라네공동생활</t>
  </si>
  <si>
    <t>6) 이월금</t>
  </si>
  <si>
    <t>고액후원자관리</t>
  </si>
  <si>
    <t>직원 경조사비</t>
  </si>
  <si>
    <t>본당신자교육</t>
  </si>
  <si>
    <t>원금상환금</t>
  </si>
  <si>
    <t>희망의집</t>
  </si>
  <si>
    <t>다향공동생활</t>
  </si>
  <si>
    <t>자동차보험모금</t>
  </si>
  <si>
    <t>행운동성당데이</t>
  </si>
  <si>
    <t>야근 식대</t>
  </si>
  <si>
    <t>모금자문위원회</t>
  </si>
  <si>
    <t xml:space="preserve"> 이자지급금</t>
  </si>
  <si>
    <t>연구사업</t>
  </si>
  <si>
    <t>교정사목지원</t>
  </si>
  <si>
    <t>신당동성당데이</t>
  </si>
  <si>
    <t>해뜨는집</t>
  </si>
  <si>
    <t>두레네공동생활</t>
  </si>
  <si>
    <t>금호동성당데이</t>
  </si>
  <si>
    <t>우리집공동체</t>
  </si>
  <si>
    <t>출장 여비</t>
  </si>
  <si>
    <t>연희네공동생활</t>
  </si>
  <si>
    <t>사랑손주간보호</t>
  </si>
  <si>
    <t>홍보대사관리</t>
  </si>
  <si>
    <t>후원자통합관리</t>
  </si>
  <si>
    <t>홈페이지 관리</t>
  </si>
  <si>
    <t>요셉의원</t>
  </si>
  <si>
    <t>갈현동성당데이</t>
  </si>
  <si>
    <t xml:space="preserve">
일반모금</t>
  </si>
  <si>
    <t>천호동성당데이</t>
  </si>
  <si>
    <t>장애인복지특화</t>
  </si>
  <si>
    <t>신망애공동생활</t>
  </si>
  <si>
    <t>홍보사업</t>
  </si>
  <si>
    <t>다사랑공동생활</t>
  </si>
  <si>
    <t>루치아공동생활</t>
  </si>
  <si>
    <t>연구기획사업</t>
  </si>
  <si>
    <t>2.  세 출</t>
  </si>
  <si>
    <t>나눔의묵상회</t>
  </si>
  <si>
    <t>장학사업</t>
  </si>
  <si>
    <t>협의회특화사업</t>
  </si>
  <si>
    <t>공모지원사업</t>
  </si>
  <si>
    <t xml:space="preserve"> - 자문비</t>
  </si>
  <si>
    <t>등록단체지원금</t>
  </si>
  <si>
    <t>연구조사사업</t>
  </si>
  <si>
    <t>정체성1단계</t>
  </si>
  <si>
    <t>시설장연수</t>
  </si>
  <si>
    <t>간사 인건비</t>
  </si>
  <si>
    <t>기획사업</t>
  </si>
  <si>
    <t>식</t>
  </si>
  <si>
    <t>재산</t>
  </si>
  <si>
    <t>회의비</t>
  </si>
  <si>
    <t>수당</t>
  </si>
  <si>
    <t>조성비</t>
  </si>
  <si>
    <t>목</t>
  </si>
  <si>
    <t>전입금</t>
  </si>
  <si>
    <t>원</t>
  </si>
  <si>
    <t>월</t>
  </si>
  <si>
    <t>관</t>
  </si>
  <si>
    <t>기본</t>
  </si>
  <si>
    <t>시설비</t>
  </si>
  <si>
    <t>이월금</t>
  </si>
  <si>
    <t>×</t>
  </si>
  <si>
    <t>전출금</t>
  </si>
  <si>
    <t>계</t>
  </si>
  <si>
    <t>항</t>
  </si>
  <si>
    <t>회</t>
  </si>
  <si>
    <t>인건비</t>
  </si>
  <si>
    <t>=</t>
  </si>
  <si>
    <t>소계</t>
  </si>
  <si>
    <t>업무</t>
  </si>
  <si>
    <t>사무비</t>
  </si>
  <si>
    <t>금액</t>
  </si>
  <si>
    <t>추진비</t>
  </si>
  <si>
    <t>후원금</t>
  </si>
  <si>
    <t>대</t>
  </si>
  <si>
    <t>합계</t>
  </si>
  <si>
    <t>여비</t>
  </si>
  <si>
    <t>수입</t>
  </si>
  <si>
    <t>근속</t>
  </si>
  <si>
    <t>분야별</t>
  </si>
  <si>
    <t>상환금</t>
  </si>
  <si>
    <t>차량비</t>
  </si>
  <si>
    <t>반환금</t>
  </si>
  <si>
    <t>CMS</t>
  </si>
  <si>
    <t>직책</t>
  </si>
  <si>
    <t>본봉</t>
  </si>
  <si>
    <t>총계</t>
  </si>
  <si>
    <t>사업비</t>
  </si>
  <si>
    <t>비지정</t>
  </si>
  <si>
    <t xml:space="preserve"> </t>
  </si>
  <si>
    <t>지정</t>
  </si>
  <si>
    <t>x</t>
  </si>
  <si>
    <t>법정</t>
  </si>
  <si>
    <t>예비비</t>
  </si>
  <si>
    <t>분기</t>
  </si>
  <si>
    <t>비율</t>
  </si>
  <si>
    <t>천원</t>
  </si>
  <si>
    <t>명</t>
  </si>
  <si>
    <t>곳</t>
  </si>
  <si>
    <t xml:space="preserve"> =</t>
  </si>
  <si>
    <t>/</t>
  </si>
  <si>
    <t>급여</t>
  </si>
  <si>
    <t>잡지출</t>
  </si>
  <si>
    <t>잡수입</t>
  </si>
  <si>
    <t>급식비</t>
  </si>
  <si>
    <t>단체</t>
  </si>
  <si>
    <t>부</t>
  </si>
  <si>
    <t>시설</t>
  </si>
  <si>
    <t>직무</t>
  </si>
  <si>
    <t>피정비</t>
  </si>
  <si>
    <t>운영비</t>
  </si>
  <si>
    <t>대림절 저금통(개인)</t>
  </si>
  <si>
    <t>사랑손직업적응훈련시설</t>
  </si>
  <si>
    <t>한마음한몸
지정후원금</t>
  </si>
  <si>
    <t>임원워크숍 및 회의</t>
  </si>
  <si>
    <t>비둘기직업적응훈련시설</t>
  </si>
  <si>
    <t xml:space="preserve">  1.종사자 교육</t>
  </si>
  <si>
    <t>사순절 저금통(개인)</t>
  </si>
  <si>
    <t>- 장애인복지협의회</t>
  </si>
  <si>
    <t>前수탁시설사후처리비</t>
  </si>
  <si>
    <t>후원관리프로그램</t>
  </si>
  <si>
    <t>긴급재난 직접지원비</t>
  </si>
  <si>
    <t>돌코리아 지정기탁사업</t>
  </si>
  <si>
    <t xml:space="preserve"> - 시설장연수</t>
  </si>
  <si>
    <t>경동제약 지정기탁사업</t>
  </si>
  <si>
    <t>자선주일(대림)</t>
  </si>
  <si>
    <t>영역별 테마모금사업비</t>
  </si>
  <si>
    <t>희망의집 대여금 회수</t>
  </si>
  <si>
    <t>시설인사위원회 회의비</t>
  </si>
  <si>
    <t xml:space="preserve">협의회
지원사업 </t>
  </si>
  <si>
    <t>재난재해
사업비</t>
  </si>
  <si>
    <t>동절기노숙인야간순회</t>
  </si>
  <si>
    <t xml:space="preserve">  1. 성지순례</t>
  </si>
  <si>
    <t>지정기탁지원사업</t>
  </si>
  <si>
    <t xml:space="preserve">
직영수탁시설관리
</t>
  </si>
  <si>
    <t>기타 소송경비 등</t>
  </si>
  <si>
    <t xml:space="preserve">  2.종사자 연수</t>
  </si>
  <si>
    <t>한부모가정 지정후원금</t>
  </si>
  <si>
    <t>돌코리아지정후원금</t>
  </si>
  <si>
    <t>장학사업
지정후원금</t>
  </si>
  <si>
    <t>사회사목국 연계</t>
  </si>
  <si>
    <t>지역사회모금사업</t>
  </si>
  <si>
    <t>바오로교실작업장</t>
  </si>
  <si>
    <t>내방자 긴급지원</t>
  </si>
  <si>
    <t>성가정노인복지관</t>
  </si>
  <si>
    <t>8) 과년도수입</t>
  </si>
  <si>
    <t>부회장 직책보조비</t>
  </si>
  <si>
    <t>- 여성복지협의회</t>
  </si>
  <si>
    <t>성모(등촌)어린이집</t>
  </si>
  <si>
    <t>시설전출금
(후원금)</t>
  </si>
  <si>
    <t>장애인고용장려금</t>
  </si>
  <si>
    <t>화해의집 쉼자리</t>
  </si>
  <si>
    <t xml:space="preserve"> - 업무점검교통비</t>
  </si>
  <si>
    <t>한가족장학금 지정후원</t>
  </si>
  <si>
    <t>전기 · 전화요금</t>
  </si>
  <si>
    <t>공모지원사업 운영비</t>
  </si>
  <si>
    <t>나자로보호작업장</t>
  </si>
  <si>
    <t>마로니에공동생활</t>
  </si>
  <si>
    <t>헬렌켈러공동생활</t>
  </si>
  <si>
    <t>옥수동아파트 임대수입</t>
  </si>
  <si>
    <t>너울자리공동생활</t>
  </si>
  <si>
    <t>샛별지역아동센터</t>
  </si>
  <si>
    <t>덕계동 임대수입</t>
  </si>
  <si>
    <t>시설 수탁관리비 등</t>
  </si>
  <si>
    <t>성빈센트환경마을</t>
  </si>
  <si>
    <t>강서직업재활센터</t>
  </si>
  <si>
    <t>헬렌켈러단기거주</t>
  </si>
  <si>
    <t xml:space="preserve"> - 특별업무점검비</t>
  </si>
  <si>
    <t>쌍문2동어린이집</t>
  </si>
  <si>
    <t>강일성모노인요양</t>
  </si>
  <si>
    <t>바오로교실주간보호</t>
  </si>
  <si>
    <t>양천어르신요양센터</t>
  </si>
  <si>
    <t>특별수당(설,추석)</t>
  </si>
  <si>
    <t>로사리아공동생활</t>
  </si>
  <si>
    <t>사회적기업진흥원 사업</t>
  </si>
  <si>
    <t xml:space="preserve"> - 메뉴얼제작비</t>
  </si>
  <si>
    <t>바보의나눔 지원금</t>
  </si>
  <si>
    <t>꿈손단기보호시설</t>
  </si>
  <si>
    <t xml:space="preserve">선종봉사부 반환금 </t>
  </si>
  <si>
    <t xml:space="preserve">  1.중간관리자연수</t>
  </si>
  <si>
    <t>시흥4동성당데이</t>
  </si>
  <si>
    <t>성지주일(사순)</t>
  </si>
  <si>
    <t xml:space="preserve">  3.동절기야간순회</t>
  </si>
  <si>
    <t>사회복지사업 지원금</t>
  </si>
  <si>
    <t xml:space="preserve">  1.실무자교육</t>
  </si>
  <si>
    <t>하늘자리공동생활</t>
  </si>
  <si>
    <t>신림성모성당데이</t>
  </si>
  <si>
    <t>회장 직책보조비</t>
  </si>
  <si>
    <t>종부세 및 대부료</t>
  </si>
  <si>
    <t>직원교육 및 연수</t>
  </si>
  <si>
    <t>장학금지급(1~2월)</t>
  </si>
  <si>
    <t>구로구육아종합지원센터</t>
  </si>
  <si>
    <t>혼배기부 축복미</t>
  </si>
  <si>
    <t>- 어린이집 협의회</t>
  </si>
  <si>
    <t xml:space="preserve">  2.시설장연수</t>
  </si>
  <si>
    <t>- 아동.청소년그룹홈</t>
  </si>
  <si>
    <t>헬렌켈러주간보호</t>
  </si>
  <si>
    <t>- 지역아동센터공부방</t>
  </si>
  <si>
    <t>보금자리공동생활</t>
  </si>
  <si>
    <t>서로함께(신림)</t>
  </si>
  <si>
    <t>한우리보호작업장</t>
  </si>
  <si>
    <t xml:space="preserve">  2.전체직원연수</t>
  </si>
  <si>
    <t>서로함께(청담)</t>
  </si>
  <si>
    <t>화곡성모공동생활</t>
  </si>
  <si>
    <t>등촌7종합복지관</t>
  </si>
  <si>
    <t>헬렌켈러공동생활2</t>
  </si>
  <si>
    <t>프란치스코어린이집</t>
  </si>
  <si>
    <t>화곡본동성당데이</t>
  </si>
  <si>
    <t>한우리정보문화센터</t>
  </si>
  <si>
    <t>(단위 : 천원)</t>
  </si>
  <si>
    <t>장학기금
이자수입</t>
  </si>
  <si>
    <t>임대료 지원(본회)</t>
  </si>
  <si>
    <t>양천데이케어센터</t>
  </si>
  <si>
    <t>사례관리모형개발비</t>
  </si>
  <si>
    <t>신풍오피스텔 임대</t>
  </si>
  <si>
    <t>지역사회
보호사업</t>
  </si>
  <si>
    <t>본당사회
복지사업</t>
  </si>
  <si>
    <t>CS노인통합
사례관리</t>
  </si>
  <si>
    <t>- 노숙인복지협의회</t>
  </si>
  <si>
    <t xml:space="preserve"> - 실무자회의비외</t>
  </si>
  <si>
    <t>대림절모금사업비</t>
  </si>
  <si>
    <t>한끼100원모금</t>
  </si>
  <si>
    <t>본당 이웃사랑 캠페인</t>
  </si>
  <si>
    <t>꿈자람터장애인주간</t>
  </si>
  <si>
    <t xml:space="preserve"> - 장애인인권교육</t>
  </si>
  <si>
    <t>사업설명회 및 심사</t>
  </si>
  <si>
    <t>본당사회복지활동지원</t>
  </si>
  <si>
    <t>시설본당 공동사업지원</t>
  </si>
  <si>
    <t>등록단체 지도점검</t>
  </si>
  <si>
    <t>사회복지분과 모임지원</t>
  </si>
  <si>
    <t>님비현상 개선 캠페인</t>
  </si>
  <si>
    <t>모범본당 운영지원</t>
  </si>
  <si>
    <t>사순절모금사업비</t>
  </si>
  <si>
    <t xml:space="preserve"> - 자기개발과정</t>
  </si>
  <si>
    <t xml:space="preserve"> - 평가회 진행비</t>
  </si>
  <si>
    <t>장애인 부모 간담회</t>
  </si>
  <si>
    <t>종교계자원봉사협의회</t>
  </si>
  <si>
    <t>시범본당 운영지원</t>
  </si>
  <si>
    <t>사례집 제작 및 배포</t>
  </si>
  <si>
    <t>분야별대표협의회</t>
  </si>
  <si>
    <t>본당 사업 지원금</t>
  </si>
  <si>
    <t>사업계획 및 평가</t>
  </si>
  <si>
    <t xml:space="preserve"> - 간담회 진행비</t>
  </si>
  <si>
    <t>MOU 실무협의회</t>
  </si>
  <si>
    <t>한국자원봉사협의회</t>
  </si>
  <si>
    <t>소외계층 긴급지원</t>
  </si>
  <si>
    <t>회계감사및 세무조정료</t>
  </si>
  <si>
    <t>운영위원 회의비</t>
  </si>
  <si>
    <t>경동제약지정후원금</t>
  </si>
  <si>
    <t>수용비 및
수수료</t>
  </si>
  <si>
    <t xml:space="preserve">  2. 근조기운영</t>
  </si>
  <si>
    <t>비지정후원 예비비</t>
  </si>
  <si>
    <t>사회보험
부담금</t>
  </si>
  <si>
    <t>베들레헴어린이집</t>
  </si>
  <si>
    <t>한국사회적기업진흥원</t>
  </si>
  <si>
    <t>연차보고서 발간</t>
  </si>
  <si>
    <t>동화나라어린이집</t>
  </si>
  <si>
    <t xml:space="preserve">  1.어린이잔치</t>
  </si>
  <si>
    <t>직원 회의비 등</t>
  </si>
  <si>
    <t xml:space="preserve">  1.야외행사</t>
  </si>
  <si>
    <t>4) 과년도지출</t>
  </si>
  <si>
    <t>운영위원회회의비</t>
  </si>
  <si>
    <t>7) 시설전출금</t>
  </si>
  <si>
    <t xml:space="preserve">  1.연합행사 </t>
  </si>
  <si>
    <t>비지정후원이월금</t>
  </si>
  <si>
    <t>중구장애인복지관</t>
  </si>
  <si>
    <t>서초3단지어린이집</t>
  </si>
  <si>
    <t>2) 재산조성비</t>
  </si>
  <si>
    <t>8) 예비비 및 기타</t>
  </si>
  <si>
    <t>시설장비
유지비</t>
  </si>
  <si>
    <t>예비비
및 기타</t>
  </si>
  <si>
    <t>한빛장애인주간보호</t>
  </si>
  <si>
    <t xml:space="preserve">동작노인복지관 </t>
  </si>
  <si>
    <t>법인신용카드캐시백배분</t>
  </si>
  <si>
    <t>온라인 홍보컨텐츠 구입</t>
  </si>
  <si>
    <t>특별수당(부활,휴가,성탄)</t>
  </si>
  <si>
    <t>성모영보장학사업 지정후원</t>
  </si>
  <si>
    <t>법인세환급 (바오로선교회)</t>
  </si>
  <si>
    <t>희망의밥(바보 개인지정기탁)</t>
  </si>
  <si>
    <t>2018년 사업지원금 반환</t>
  </si>
  <si>
    <t>- 장애인복지시설협의회</t>
  </si>
  <si>
    <t>요안나장학기금 이자수입</t>
  </si>
  <si>
    <t>평화방송 사례모금 후원금</t>
  </si>
  <si>
    <t>언론홍보(서울주보 등)</t>
  </si>
  <si>
    <t>총회 및 회원의날 행사비</t>
  </si>
  <si>
    <t>자동차세 및 자동차보험료</t>
  </si>
  <si>
    <t>직영수탁시설방문 및 축하금</t>
  </si>
  <si>
    <t>기타관리비(신청서 제작 등)</t>
  </si>
  <si>
    <t xml:space="preserve">  2.중간관리자연수 </t>
  </si>
  <si>
    <t>말가리다장학기금 이자수입</t>
  </si>
  <si>
    <t>성모영보장학기금  이자수입</t>
  </si>
  <si>
    <t>한국종교계사회복지협의회</t>
  </si>
  <si>
    <t>시설전출금+장애인고용장려금</t>
  </si>
  <si>
    <t>양초사업 대출 이자 등</t>
  </si>
  <si>
    <t>등기,평가, 중개수수료 등</t>
  </si>
  <si>
    <t xml:space="preserve">본당사회복지자문위원회 </t>
  </si>
  <si>
    <t>양초사업 대출 원금 상환</t>
  </si>
  <si>
    <t>다과구입 등 기타회의비</t>
  </si>
  <si>
    <t>장학금지급(3~12월)</t>
  </si>
  <si>
    <t>한끼100원나누기 사업비</t>
  </si>
  <si>
    <t>선교200주년장학금 지정후원</t>
  </si>
  <si>
    <t>동자동 임대수입(5층)</t>
  </si>
  <si>
    <t xml:space="preserve"> - 나눔의 묵상회(피정)</t>
  </si>
  <si>
    <t>사무실 및 교육실 임차료</t>
  </si>
  <si>
    <t>본당 자원봉사 
관리및 운영</t>
  </si>
  <si>
    <t>요안나장학사업 지정후원</t>
  </si>
  <si>
    <t>예다움보듬이나눔이어린이집</t>
  </si>
  <si>
    <t>- 종합사회복지관협의회</t>
  </si>
  <si>
    <t>2020년3차
추경예산(A)</t>
  </si>
  <si>
    <t>2020년4차
추경예산(B)</t>
  </si>
  <si>
    <t>사회복지사목 시범본당 운영</t>
  </si>
  <si>
    <t>평화신문 사례 모금 지원</t>
  </si>
  <si>
    <t>사업계획서, 보고서 발간</t>
  </si>
  <si>
    <t>사업수행본당 지원 및 평가</t>
  </si>
  <si>
    <t>시설전출금+시설전출후원금</t>
  </si>
  <si>
    <t>자원봉사통합네트워크유지비</t>
  </si>
  <si>
    <t xml:space="preserve"> - 기획회의 및 평가회비</t>
  </si>
  <si>
    <t xml:space="preserve"> - 특화서비스 지원비</t>
  </si>
  <si>
    <t>본당사회복지 공모지원사업</t>
  </si>
  <si>
    <t>서울대교구성당지정후원금</t>
  </si>
  <si>
    <t>통신사 기지국 임대수입</t>
  </si>
  <si>
    <t>고령장애인 서비스 지원</t>
  </si>
  <si>
    <t>2019년 법인세 환급</t>
  </si>
  <si>
    <t>기타재산수입 및 배당수입</t>
  </si>
  <si>
    <t>서울가톨릭사회복지회 2020년  세입·세출 예산</t>
  </si>
  <si>
    <t>명일동성당지원금(성가정노인복지관지원)</t>
  </si>
  <si>
    <t>시설전출금+장애인고용장려금+시설전출후원금</t>
  </si>
  <si>
    <t>이는 차기 추가경정예산에 반영해야 한다.</t>
  </si>
  <si>
    <t>이주사목위원회 지원(베들레헴어린이집 지원)</t>
  </si>
  <si>
    <t>2. 세입의 주요 재원은 다음과 같다.</t>
  </si>
  <si>
    <t>장애인주일 미사 및 행사(취소)</t>
    <phoneticPr fontId="7" type="noConversion"/>
  </si>
  <si>
    <t>지정기탁시설지원 등</t>
    <phoneticPr fontId="7" type="noConversion"/>
  </si>
  <si>
    <t>사순대림 저금통</t>
    <phoneticPr fontId="7" type="noConversion"/>
  </si>
  <si>
    <t>회</t>
    <phoneticPr fontId="7" type="noConversion"/>
  </si>
  <si>
    <t xml:space="preserve">법인재산관리비 </t>
    <phoneticPr fontId="7" type="noConversion"/>
  </si>
  <si>
    <t>화해의집시설전출금</t>
    <phoneticPr fontId="7" type="noConversion"/>
  </si>
  <si>
    <t>수유동 재계약시 보증금 인상분</t>
    <phoneticPr fontId="7" type="noConversion"/>
  </si>
  <si>
    <t>명</t>
    <phoneticPr fontId="7" type="noConversion"/>
  </si>
  <si>
    <t>사무실 컴퓨터및  비품구입</t>
    <phoneticPr fontId="7" type="noConversion"/>
  </si>
  <si>
    <t>주교회의교육행정분과지원금반환</t>
    <phoneticPr fontId="7" type="noConversion"/>
  </si>
  <si>
    <t>원은 반환금으로 분리</t>
    <phoneticPr fontId="7" type="noConversion"/>
  </si>
  <si>
    <t>차년도이월금</t>
    <phoneticPr fontId="7" type="noConversion"/>
  </si>
  <si>
    <t>비지정후원 차년도이월금</t>
    <phoneticPr fontId="7" type="noConversion"/>
  </si>
  <si>
    <t>지정후원 차년도이월금</t>
    <phoneticPr fontId="7" type="noConversion"/>
  </si>
  <si>
    <t>신규</t>
    <phoneticPr fontId="7" type="noConversion"/>
  </si>
  <si>
    <r>
      <t xml:space="preserve">2020년 제3차 추가경정예산 대비 </t>
    </r>
    <r>
      <rPr>
        <sz val="12"/>
        <color rgb="FFFF0000"/>
        <rFont val="맑은 고딕"/>
        <family val="3"/>
        <charset val="129"/>
      </rPr>
      <t>0.3</t>
    </r>
    <r>
      <rPr>
        <sz val="12"/>
        <color rgb="FF000000"/>
        <rFont val="맑은 고딕"/>
        <family val="3"/>
        <charset val="129"/>
      </rPr>
      <t>%  감소하였다.</t>
    </r>
    <phoneticPr fontId="7" type="noConversion"/>
  </si>
  <si>
    <t xml:space="preserve"> - 정체성교육</t>
    <phoneticPr fontId="7" type="noConversion"/>
  </si>
  <si>
    <t>1.  세 입</t>
    <phoneticPr fontId="7" type="noConversion"/>
  </si>
  <si>
    <t>사업비</t>
    <phoneticPr fontId="7" type="noConversion"/>
  </si>
  <si>
    <t xml:space="preserve"> - 점검단교육비및 평가회비</t>
    <phoneticPr fontId="7" type="noConversion"/>
  </si>
  <si>
    <t>분아별</t>
    <phoneticPr fontId="7" type="noConversion"/>
  </si>
  <si>
    <t>지원사업</t>
    <phoneticPr fontId="7" type="noConversion"/>
  </si>
  <si>
    <t>전출금</t>
    <phoneticPr fontId="7" type="noConversion"/>
  </si>
  <si>
    <t>전출금</t>
    <phoneticPr fontId="7" type="noConversion"/>
  </si>
  <si>
    <t>회</t>
    <phoneticPr fontId="7" type="noConversion"/>
  </si>
  <si>
    <t>사회복지법인 서울가톨릭사회복지회의  2020년 제4차 추가경정예산(안) 세입 · 세출액은 각각 8,924,829천원이며</t>
    <phoneticPr fontId="7" type="noConversion"/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</si>
  <si>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</si>
  <si>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r>
      <t>산출내역</t>
    </r>
    <r>
      <rPr>
        <sz val="10"/>
        <rFont val="맑은 고딕"/>
        <family val="3"/>
        <charset val="129"/>
      </rPr>
      <t>(단위: 원)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</si>
</sst>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</numFmts>
  <fonts count="26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  <font>
      <sz val="9"/>
      <name val="맑은 고딕"/>
      <family val="3"/>
      <charset val="129"/>
    </font>
    <font>
      <sz val="12"/>
      <name val="맑은 고딕"/>
      <family val="3"/>
      <charset val="129"/>
    </font>
    <font>
      <b/>
      <sz val="14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9"/>
      <name val="맑은 고딕"/>
      <family val="3"/>
      <charset val="129"/>
    </font>
    <font>
      <b/>
      <sz val="11"/>
      <name val="맑은 고딕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9" fontId="6" fillId="0" borderId="0">
      <alignment vertical="center"/>
    </xf>
    <xf numFmtId="41" fontId="6" fillId="0" borderId="0">
      <alignment vertical="center"/>
    </xf>
    <xf numFmtId="9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0" fontId="1" fillId="0" borderId="0"/>
  </cellStyleXfs>
  <cellXfs count="7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Fill="1" applyBorder="1">
      <alignment vertical="center"/>
    </xf>
    <xf numFmtId="0" fontId="8" fillId="0" borderId="12" xfId="0" applyNumberFormat="1" applyFont="1" applyBorder="1" applyAlignment="1">
      <alignment horizontal="left" vertical="center"/>
    </xf>
    <xf numFmtId="41" fontId="9" fillId="0" borderId="41" xfId="4" applyNumberFormat="1" applyFont="1" applyBorder="1">
      <alignment vertical="center"/>
    </xf>
    <xf numFmtId="0" fontId="9" fillId="0" borderId="41" xfId="0" applyNumberFormat="1" applyFont="1" applyBorder="1">
      <alignment vertical="center"/>
    </xf>
    <xf numFmtId="0" fontId="10" fillId="0" borderId="41" xfId="0" applyNumberFormat="1" applyFont="1" applyBorder="1" applyAlignment="1">
      <alignment horizontal="center" vertical="center"/>
    </xf>
    <xf numFmtId="0" fontId="9" fillId="0" borderId="41" xfId="0" applyNumberFormat="1" applyFont="1" applyBorder="1" applyAlignment="1">
      <alignment horizontal="center" vertical="center"/>
    </xf>
    <xf numFmtId="0" fontId="9" fillId="0" borderId="28" xfId="0" applyNumberFormat="1" applyFont="1" applyBorder="1">
      <alignment vertical="center"/>
    </xf>
    <xf numFmtId="0" fontId="9" fillId="0" borderId="0" xfId="0" applyNumberFormat="1" applyFont="1" applyFill="1" applyBorder="1">
      <alignment vertical="center"/>
    </xf>
    <xf numFmtId="41" fontId="9" fillId="0" borderId="0" xfId="4" applyNumberFormat="1" applyFont="1" applyFill="1" applyBorder="1">
      <alignment vertical="center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9" fillId="0" borderId="0" xfId="0" quotePrefix="1" applyNumberFormat="1" applyFont="1" applyFill="1" applyBorder="1" applyAlignment="1">
      <alignment horizontal="center" vertical="center"/>
    </xf>
    <xf numFmtId="0" fontId="9" fillId="0" borderId="28" xfId="0" applyNumberFormat="1" applyFont="1" applyFill="1" applyBorder="1">
      <alignment vertical="center"/>
    </xf>
    <xf numFmtId="0" fontId="9" fillId="0" borderId="44" xfId="0" applyNumberFormat="1" applyFont="1" applyFill="1" applyBorder="1" applyAlignment="1">
      <alignment horizontal="left" vertical="center" shrinkToFit="1"/>
    </xf>
    <xf numFmtId="41" fontId="9" fillId="0" borderId="41" xfId="4" applyNumberFormat="1" applyFont="1" applyFill="1" applyBorder="1">
      <alignment vertical="center"/>
    </xf>
    <xf numFmtId="0" fontId="9" fillId="0" borderId="41" xfId="0" applyNumberFormat="1" applyFont="1" applyFill="1" applyBorder="1" applyAlignment="1">
      <alignment horizontal="center" vertical="center"/>
    </xf>
    <xf numFmtId="0" fontId="10" fillId="0" borderId="41" xfId="0" applyNumberFormat="1" applyFont="1" applyFill="1" applyBorder="1" applyAlignment="1">
      <alignment horizontal="center" vertical="center"/>
    </xf>
    <xf numFmtId="0" fontId="9" fillId="0" borderId="41" xfId="0" quotePrefix="1" applyNumberFormat="1" applyFont="1" applyFill="1" applyBorder="1" applyAlignment="1">
      <alignment horizontal="center" vertical="center"/>
    </xf>
    <xf numFmtId="0" fontId="9" fillId="0" borderId="24" xfId="0" applyNumberFormat="1" applyFont="1" applyFill="1" applyBorder="1">
      <alignment vertical="center"/>
    </xf>
    <xf numFmtId="0" fontId="9" fillId="0" borderId="23" xfId="0" applyNumberFormat="1" applyFont="1" applyFill="1" applyBorder="1" applyAlignment="1">
      <alignment horizontal="left" vertical="center" shrinkToFit="1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3" fillId="0" borderId="0" xfId="2" applyNumberFormat="1" applyFont="1" applyBorder="1" applyAlignment="1">
      <alignment horizontal="left" vertical="center"/>
    </xf>
    <xf numFmtId="41" fontId="3" fillId="0" borderId="0" xfId="2" applyNumberFormat="1" applyFont="1" applyBorder="1" applyAlignment="1">
      <alignment vertical="center"/>
    </xf>
    <xf numFmtId="41" fontId="3" fillId="0" borderId="0" xfId="0" applyNumberFormat="1" applyFont="1" applyBorder="1" applyAlignment="1">
      <alignment horizontal="center" vertical="center"/>
    </xf>
    <xf numFmtId="41" fontId="3" fillId="0" borderId="0" xfId="2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11" fillId="0" borderId="17" xfId="0" applyNumberFormat="1" applyFont="1" applyBorder="1" applyAlignment="1">
      <alignment horizontal="center" vertical="center" wrapText="1"/>
    </xf>
    <xf numFmtId="0" fontId="11" fillId="0" borderId="25" xfId="0" applyNumberFormat="1" applyFont="1" applyBorder="1" applyAlignment="1">
      <alignment horizontal="center" vertical="center" wrapText="1"/>
    </xf>
    <xf numFmtId="0" fontId="12" fillId="0" borderId="0" xfId="0" applyNumberFormat="1" applyFont="1" applyBorder="1" applyAlignment="1">
      <alignment horizontal="left" vertical="center"/>
    </xf>
    <xf numFmtId="0" fontId="11" fillId="0" borderId="0" xfId="0" applyNumberFormat="1" applyFont="1" applyAlignment="1">
      <alignment horizontal="center" vertical="center"/>
    </xf>
    <xf numFmtId="41" fontId="11" fillId="0" borderId="0" xfId="2" applyNumberFormat="1" applyFont="1" applyFill="1" applyAlignment="1">
      <alignment horizontal="center" vertical="center"/>
    </xf>
    <xf numFmtId="41" fontId="11" fillId="0" borderId="0" xfId="2" applyNumberFormat="1" applyFont="1" applyAlignment="1">
      <alignment horizontal="center" vertical="center"/>
    </xf>
    <xf numFmtId="178" fontId="11" fillId="0" borderId="0" xfId="2" applyNumberFormat="1" applyFont="1" applyAlignment="1">
      <alignment horizontal="right" vertical="center"/>
    </xf>
    <xf numFmtId="179" fontId="11" fillId="0" borderId="0" xfId="2" applyNumberFormat="1" applyFont="1" applyAlignment="1">
      <alignment vertical="center"/>
    </xf>
    <xf numFmtId="0" fontId="13" fillId="0" borderId="0" xfId="0" applyNumberFormat="1" applyFont="1" applyAlignment="1">
      <alignment horizontal="left" vertical="center"/>
    </xf>
    <xf numFmtId="41" fontId="9" fillId="0" borderId="0" xfId="2" applyNumberFormat="1" applyFont="1">
      <alignment vertical="center"/>
    </xf>
    <xf numFmtId="0" fontId="9" fillId="0" borderId="0" xfId="0" applyNumberFormat="1" applyFont="1">
      <alignment vertical="center"/>
    </xf>
    <xf numFmtId="0" fontId="9" fillId="0" borderId="0" xfId="0" applyNumberFormat="1" applyFont="1" applyAlignment="1">
      <alignment horizontal="center" vertical="center"/>
    </xf>
    <xf numFmtId="0" fontId="11" fillId="0" borderId="0" xfId="0" applyNumberFormat="1" applyFont="1">
      <alignment vertical="center"/>
    </xf>
    <xf numFmtId="41" fontId="11" fillId="0" borderId="0" xfId="2" applyNumberFormat="1" applyFont="1">
      <alignment vertical="center"/>
    </xf>
    <xf numFmtId="41" fontId="14" fillId="0" borderId="0" xfId="2" applyNumberFormat="1" applyFont="1">
      <alignment vertical="center"/>
    </xf>
    <xf numFmtId="0" fontId="15" fillId="0" borderId="0" xfId="0" applyNumberFormat="1" applyFont="1" applyBorder="1" applyAlignment="1">
      <alignment horizontal="left" vertical="center"/>
    </xf>
    <xf numFmtId="0" fontId="16" fillId="0" borderId="0" xfId="0" applyNumberFormat="1" applyFont="1" applyBorder="1" applyAlignment="1">
      <alignment horizontal="center" vertical="center"/>
    </xf>
    <xf numFmtId="41" fontId="16" fillId="0" borderId="0" xfId="2" applyNumberFormat="1" applyFont="1" applyFill="1" applyBorder="1" applyAlignment="1">
      <alignment horizontal="center" vertical="center"/>
    </xf>
    <xf numFmtId="41" fontId="16" fillId="0" borderId="0" xfId="2" applyNumberFormat="1" applyFont="1" applyBorder="1" applyAlignment="1">
      <alignment horizontal="center" vertical="center"/>
    </xf>
    <xf numFmtId="178" fontId="16" fillId="0" borderId="0" xfId="2" applyNumberFormat="1" applyFont="1" applyBorder="1" applyAlignment="1">
      <alignment horizontal="right" vertical="center"/>
    </xf>
    <xf numFmtId="179" fontId="16" fillId="0" borderId="0" xfId="2" applyNumberFormat="1" applyFont="1" applyBorder="1" applyAlignment="1">
      <alignment vertical="center"/>
    </xf>
    <xf numFmtId="0" fontId="11" fillId="0" borderId="0" xfId="0" applyNumberFormat="1" applyFont="1" applyBorder="1" applyAlignment="1">
      <alignment horizontal="right" vertical="center"/>
    </xf>
    <xf numFmtId="0" fontId="17" fillId="0" borderId="1" xfId="0" applyNumberFormat="1" applyFont="1" applyBorder="1" applyAlignment="1">
      <alignment horizontal="center" vertical="center"/>
    </xf>
    <xf numFmtId="0" fontId="17" fillId="0" borderId="70" xfId="0" applyNumberFormat="1" applyFont="1" applyBorder="1" applyAlignment="1">
      <alignment horizontal="center" vertical="center"/>
    </xf>
    <xf numFmtId="0" fontId="17" fillId="0" borderId="67" xfId="0" applyNumberFormat="1" applyFont="1" applyBorder="1" applyAlignment="1">
      <alignment horizontal="center" vertical="center"/>
    </xf>
    <xf numFmtId="41" fontId="17" fillId="0" borderId="67" xfId="2" applyNumberFormat="1" applyFont="1" applyBorder="1" applyAlignment="1">
      <alignment horizontal="center" vertical="center" wrapText="1"/>
    </xf>
    <xf numFmtId="41" fontId="17" fillId="2" borderId="67" xfId="4" applyNumberFormat="1" applyFont="1" applyFill="1" applyBorder="1" applyAlignment="1">
      <alignment horizontal="center" vertical="center" wrapText="1"/>
    </xf>
    <xf numFmtId="41" fontId="17" fillId="0" borderId="59" xfId="2" applyNumberFormat="1" applyFont="1" applyBorder="1" applyAlignment="1">
      <alignment horizontal="center" vertical="center"/>
    </xf>
    <xf numFmtId="0" fontId="17" fillId="0" borderId="11" xfId="0" applyNumberFormat="1" applyFont="1" applyBorder="1" applyAlignment="1">
      <alignment horizontal="center" vertical="center"/>
    </xf>
    <xf numFmtId="0" fontId="17" fillId="0" borderId="65" xfId="0" applyNumberFormat="1" applyFont="1" applyBorder="1" applyAlignment="1">
      <alignment horizontal="center" vertical="center"/>
    </xf>
    <xf numFmtId="0" fontId="17" fillId="0" borderId="68" xfId="0" applyNumberFormat="1" applyFont="1" applyBorder="1" applyAlignment="1">
      <alignment horizontal="center" vertical="center"/>
    </xf>
    <xf numFmtId="41" fontId="17" fillId="0" borderId="68" xfId="2" applyNumberFormat="1" applyFont="1" applyBorder="1" applyAlignment="1">
      <alignment horizontal="center" vertical="center" wrapText="1"/>
    </xf>
    <xf numFmtId="41" fontId="17" fillId="2" borderId="48" xfId="4" applyNumberFormat="1" applyFont="1" applyFill="1" applyBorder="1" applyAlignment="1">
      <alignment horizontal="center" vertical="center" wrapText="1"/>
    </xf>
    <xf numFmtId="41" fontId="17" fillId="0" borderId="46" xfId="2" applyNumberFormat="1" applyFont="1" applyBorder="1" applyAlignment="1">
      <alignment horizontal="center" vertical="center"/>
    </xf>
    <xf numFmtId="179" fontId="17" fillId="0" borderId="46" xfId="2" applyNumberFormat="1" applyFont="1" applyBorder="1" applyAlignment="1">
      <alignment vertical="center"/>
    </xf>
    <xf numFmtId="0" fontId="17" fillId="0" borderId="30" xfId="0" applyNumberFormat="1" applyFont="1" applyBorder="1" applyAlignment="1">
      <alignment horizontal="center" vertical="center"/>
    </xf>
    <xf numFmtId="0" fontId="17" fillId="0" borderId="32" xfId="0" applyNumberFormat="1" applyFont="1" applyBorder="1" applyAlignment="1">
      <alignment horizontal="center" vertical="center"/>
    </xf>
    <xf numFmtId="0" fontId="17" fillId="0" borderId="69" xfId="0" applyNumberFormat="1" applyFont="1" applyBorder="1" applyAlignment="1">
      <alignment horizontal="center" vertical="center"/>
    </xf>
    <xf numFmtId="41" fontId="17" fillId="0" borderId="30" xfId="2" applyNumberFormat="1" applyFont="1" applyBorder="1" applyAlignment="1">
      <alignment horizontal="center" vertical="center"/>
    </xf>
    <xf numFmtId="41" fontId="17" fillId="0" borderId="47" xfId="2" applyNumberFormat="1" applyFont="1" applyBorder="1" applyAlignment="1">
      <alignment horizontal="center" vertical="center"/>
    </xf>
    <xf numFmtId="41" fontId="17" fillId="2" borderId="48" xfId="4" applyNumberFormat="1" applyFont="1" applyFill="1" applyBorder="1" applyAlignment="1">
      <alignment horizontal="center" vertical="center"/>
    </xf>
    <xf numFmtId="178" fontId="17" fillId="0" borderId="49" xfId="2" applyNumberFormat="1" applyFont="1" applyBorder="1" applyAlignment="1">
      <alignment horizontal="right" vertical="center"/>
    </xf>
    <xf numFmtId="179" fontId="17" fillId="0" borderId="49" xfId="2" applyNumberFormat="1" applyFont="1" applyBorder="1" applyAlignment="1">
      <alignment vertical="center"/>
    </xf>
    <xf numFmtId="0" fontId="13" fillId="0" borderId="50" xfId="0" applyNumberFormat="1" applyFont="1" applyBorder="1">
      <alignment vertical="center"/>
    </xf>
    <xf numFmtId="0" fontId="13" fillId="0" borderId="33" xfId="0" applyNumberFormat="1" applyFont="1" applyBorder="1">
      <alignment vertical="center"/>
    </xf>
    <xf numFmtId="0" fontId="13" fillId="0" borderId="33" xfId="0" applyNumberFormat="1" applyFont="1" applyBorder="1" applyAlignment="1">
      <alignment horizontal="center" vertical="center"/>
    </xf>
    <xf numFmtId="0" fontId="13" fillId="0" borderId="51" xfId="0" applyNumberFormat="1" applyFont="1" applyBorder="1">
      <alignment vertical="center"/>
    </xf>
    <xf numFmtId="41" fontId="8" fillId="0" borderId="51" xfId="2" applyNumberFormat="1" applyFont="1" applyBorder="1" applyAlignment="1">
      <alignment horizontal="center" vertical="center"/>
    </xf>
    <xf numFmtId="0" fontId="18" fillId="0" borderId="52" xfId="0" applyNumberFormat="1" applyFont="1" applyBorder="1">
      <alignment vertical="center"/>
    </xf>
    <xf numFmtId="0" fontId="19" fillId="0" borderId="2" xfId="0" applyNumberFormat="1" applyFont="1" applyBorder="1" applyAlignment="1">
      <alignment horizontal="center" vertical="center"/>
    </xf>
    <xf numFmtId="0" fontId="19" fillId="0" borderId="21" xfId="0" applyNumberFormat="1" applyFont="1" applyBorder="1" applyAlignment="1">
      <alignment horizontal="center" vertical="center"/>
    </xf>
    <xf numFmtId="0" fontId="19" fillId="0" borderId="26" xfId="0" applyNumberFormat="1" applyFont="1" applyBorder="1" applyAlignment="1">
      <alignment horizontal="center" vertical="center"/>
    </xf>
    <xf numFmtId="41" fontId="17" fillId="0" borderId="53" xfId="2" applyNumberFormat="1" applyFont="1" applyFill="1" applyBorder="1" applyAlignment="1">
      <alignment horizontal="center" vertical="center"/>
    </xf>
    <xf numFmtId="41" fontId="17" fillId="0" borderId="53" xfId="2" applyNumberFormat="1" applyFont="1" applyBorder="1" applyAlignment="1">
      <alignment horizontal="center" vertical="center"/>
    </xf>
    <xf numFmtId="41" fontId="17" fillId="2" borderId="53" xfId="4" applyNumberFormat="1" applyFont="1" applyFill="1" applyBorder="1" applyAlignment="1">
      <alignment horizontal="center" vertical="center"/>
    </xf>
    <xf numFmtId="178" fontId="17" fillId="0" borderId="53" xfId="2" applyNumberFormat="1" applyFont="1" applyBorder="1" applyAlignment="1">
      <alignment horizontal="right" vertical="center"/>
    </xf>
    <xf numFmtId="179" fontId="17" fillId="0" borderId="53" xfId="2" applyNumberFormat="1" applyFont="1" applyBorder="1" applyAlignment="1">
      <alignment vertical="center"/>
    </xf>
    <xf numFmtId="0" fontId="13" fillId="0" borderId="26" xfId="0" applyNumberFormat="1" applyFont="1" applyBorder="1" applyAlignment="1">
      <alignment horizontal="left" vertical="center"/>
    </xf>
    <xf numFmtId="41" fontId="9" fillId="0" borderId="54" xfId="2" applyNumberFormat="1" applyFont="1" applyBorder="1">
      <alignment vertical="center"/>
    </xf>
    <xf numFmtId="0" fontId="9" fillId="0" borderId="54" xfId="0" applyNumberFormat="1" applyFont="1" applyBorder="1">
      <alignment vertical="center"/>
    </xf>
    <xf numFmtId="0" fontId="9" fillId="0" borderId="54" xfId="0" applyNumberFormat="1" applyFont="1" applyBorder="1" applyAlignment="1">
      <alignment horizontal="center" vertical="center"/>
    </xf>
    <xf numFmtId="41" fontId="8" fillId="0" borderId="54" xfId="2" applyNumberFormat="1" applyFont="1" applyBorder="1">
      <alignment vertical="center"/>
    </xf>
    <xf numFmtId="0" fontId="8" fillId="0" borderId="55" xfId="0" applyNumberFormat="1" applyFont="1" applyBorder="1">
      <alignment vertical="center"/>
    </xf>
    <xf numFmtId="41" fontId="11" fillId="0" borderId="2" xfId="2" applyNumberFormat="1" applyFont="1" applyBorder="1" applyAlignment="1">
      <alignment horizontal="center" vertical="center"/>
    </xf>
    <xf numFmtId="0" fontId="19" fillId="0" borderId="5" xfId="0" applyNumberFormat="1" applyFont="1" applyBorder="1" applyAlignment="1">
      <alignment horizontal="center" vertical="center"/>
    </xf>
    <xf numFmtId="0" fontId="17" fillId="0" borderId="23" xfId="0" applyNumberFormat="1" applyFont="1" applyBorder="1" applyAlignment="1">
      <alignment horizontal="center" vertical="center"/>
    </xf>
    <xf numFmtId="41" fontId="17" fillId="0" borderId="27" xfId="2" applyNumberFormat="1" applyFont="1" applyFill="1" applyBorder="1" applyAlignment="1">
      <alignment horizontal="center" vertical="center"/>
    </xf>
    <xf numFmtId="41" fontId="17" fillId="0" borderId="27" xfId="2" applyNumberFormat="1" applyFont="1" applyBorder="1" applyAlignment="1">
      <alignment horizontal="center" vertical="center"/>
    </xf>
    <xf numFmtId="41" fontId="17" fillId="2" borderId="27" xfId="4" applyNumberFormat="1" applyFont="1" applyFill="1" applyBorder="1" applyAlignment="1">
      <alignment horizontal="center" vertical="center"/>
    </xf>
    <xf numFmtId="178" fontId="17" fillId="0" borderId="27" xfId="2" applyNumberFormat="1" applyFont="1" applyBorder="1" applyAlignment="1">
      <alignment horizontal="right" vertical="center"/>
    </xf>
    <xf numFmtId="179" fontId="17" fillId="0" borderId="27" xfId="2" applyNumberFormat="1" applyFont="1" applyBorder="1" applyAlignment="1">
      <alignment vertical="center"/>
    </xf>
    <xf numFmtId="0" fontId="13" fillId="0" borderId="23" xfId="0" applyNumberFormat="1" applyFont="1" applyBorder="1" applyAlignment="1">
      <alignment horizontal="left" vertical="center"/>
    </xf>
    <xf numFmtId="41" fontId="9" fillId="0" borderId="0" xfId="2" applyNumberFormat="1" applyFont="1" applyBorder="1">
      <alignment vertical="center"/>
    </xf>
    <xf numFmtId="0" fontId="9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22" xfId="0" applyNumberFormat="1" applyFont="1" applyBorder="1">
      <alignment vertical="center"/>
    </xf>
    <xf numFmtId="41" fontId="20" fillId="4" borderId="56" xfId="2" applyNumberFormat="1" applyFont="1" applyFill="1" applyBorder="1" applyAlignment="1">
      <alignment horizontal="center" vertical="distributed"/>
    </xf>
    <xf numFmtId="0" fontId="11" fillId="0" borderId="5" xfId="0" applyNumberFormat="1" applyFont="1" applyBorder="1" applyAlignment="1">
      <alignment horizontal="center" vertical="center"/>
    </xf>
    <xf numFmtId="0" fontId="9" fillId="0" borderId="17" xfId="0" applyNumberFormat="1" applyFont="1" applyBorder="1" applyAlignment="1">
      <alignment horizontal="center" vertical="center"/>
    </xf>
    <xf numFmtId="41" fontId="11" fillId="0" borderId="37" xfId="2" applyNumberFormat="1" applyFont="1" applyFill="1" applyBorder="1" applyAlignment="1">
      <alignment horizontal="right" vertical="center"/>
    </xf>
    <xf numFmtId="178" fontId="11" fillId="0" borderId="37" xfId="2" applyNumberFormat="1" applyFont="1" applyBorder="1" applyAlignment="1">
      <alignment horizontal="right" vertical="center"/>
    </xf>
    <xf numFmtId="41" fontId="11" fillId="2" borderId="37" xfId="4" applyNumberFormat="1" applyFont="1" applyFill="1" applyBorder="1" applyAlignment="1">
      <alignment horizontal="center" vertical="center"/>
    </xf>
    <xf numFmtId="179" fontId="11" fillId="0" borderId="37" xfId="2" applyNumberFormat="1" applyFont="1" applyBorder="1" applyAlignment="1">
      <alignment horizontal="right" vertical="center"/>
    </xf>
    <xf numFmtId="0" fontId="9" fillId="0" borderId="36" xfId="0" applyNumberFormat="1" applyFont="1" applyBorder="1" applyAlignment="1">
      <alignment horizontal="left" vertical="center"/>
    </xf>
    <xf numFmtId="41" fontId="9" fillId="0" borderId="18" xfId="2" applyNumberFormat="1" applyFont="1" applyBorder="1">
      <alignment vertical="center"/>
    </xf>
    <xf numFmtId="0" fontId="9" fillId="0" borderId="18" xfId="0" applyNumberFormat="1" applyFont="1" applyBorder="1">
      <alignment vertical="center"/>
    </xf>
    <xf numFmtId="0" fontId="9" fillId="0" borderId="18" xfId="0" applyNumberFormat="1" applyFont="1" applyBorder="1" applyAlignment="1">
      <alignment horizontal="center" vertical="center"/>
    </xf>
    <xf numFmtId="0" fontId="9" fillId="0" borderId="39" xfId="0" applyNumberFormat="1" applyFont="1" applyBorder="1">
      <alignment vertical="center"/>
    </xf>
    <xf numFmtId="41" fontId="21" fillId="4" borderId="56" xfId="2" applyNumberFormat="1" applyFont="1" applyFill="1" applyBorder="1" applyAlignment="1">
      <alignment horizontal="center" vertical="distributed"/>
    </xf>
    <xf numFmtId="0" fontId="9" fillId="0" borderId="25" xfId="0" applyNumberFormat="1" applyFont="1" applyBorder="1" applyAlignment="1">
      <alignment horizontal="center" vertical="center"/>
    </xf>
    <xf numFmtId="41" fontId="11" fillId="0" borderId="27" xfId="2" applyNumberFormat="1" applyFont="1" applyFill="1" applyBorder="1" applyAlignment="1">
      <alignment horizontal="right" vertical="center"/>
    </xf>
    <xf numFmtId="178" fontId="11" fillId="0" borderId="27" xfId="2" applyNumberFormat="1" applyFont="1" applyBorder="1" applyAlignment="1">
      <alignment horizontal="right" vertical="center"/>
    </xf>
    <xf numFmtId="41" fontId="11" fillId="2" borderId="27" xfId="4" applyNumberFormat="1" applyFont="1" applyFill="1" applyBorder="1" applyAlignment="1">
      <alignment horizontal="center" vertical="center"/>
    </xf>
    <xf numFmtId="179" fontId="11" fillId="0" borderId="27" xfId="2" applyNumberFormat="1" applyFont="1" applyBorder="1" applyAlignment="1">
      <alignment horizontal="right" vertical="center"/>
    </xf>
    <xf numFmtId="0" fontId="9" fillId="0" borderId="23" xfId="0" applyNumberFormat="1" applyFont="1" applyBorder="1" applyAlignment="1">
      <alignment horizontal="left" vertical="center"/>
    </xf>
    <xf numFmtId="0" fontId="10" fillId="0" borderId="0" xfId="0" applyNumberFormat="1" applyFont="1" applyBorder="1" applyAlignment="1">
      <alignment horizontal="center" vertical="center"/>
    </xf>
    <xf numFmtId="0" fontId="9" fillId="0" borderId="0" xfId="0" quotePrefix="1" applyNumberFormat="1" applyFont="1" applyBorder="1" applyAlignment="1">
      <alignment horizontal="center" vertical="center"/>
    </xf>
    <xf numFmtId="178" fontId="9" fillId="0" borderId="0" xfId="2" applyNumberFormat="1" applyFont="1" applyBorder="1">
      <alignment vertical="center"/>
    </xf>
    <xf numFmtId="41" fontId="21" fillId="4" borderId="0" xfId="2" applyNumberFormat="1" applyFont="1" applyFill="1" applyBorder="1" applyAlignment="1">
      <alignment horizontal="center" vertical="distributed"/>
    </xf>
    <xf numFmtId="41" fontId="11" fillId="2" borderId="49" xfId="4" applyNumberFormat="1" applyFont="1" applyFill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  <xf numFmtId="41" fontId="11" fillId="0" borderId="49" xfId="2" applyNumberFormat="1" applyFont="1" applyFill="1" applyBorder="1" applyAlignment="1">
      <alignment horizontal="right" vertical="center"/>
    </xf>
    <xf numFmtId="178" fontId="11" fillId="0" borderId="49" xfId="2" applyNumberFormat="1" applyFont="1" applyBorder="1" applyAlignment="1">
      <alignment horizontal="right" vertical="center"/>
    </xf>
    <xf numFmtId="179" fontId="11" fillId="0" borderId="49" xfId="2" applyNumberFormat="1" applyFont="1" applyBorder="1" applyAlignment="1">
      <alignment horizontal="right" vertical="center"/>
    </xf>
    <xf numFmtId="0" fontId="9" fillId="0" borderId="23" xfId="0" applyNumberFormat="1" applyFont="1" applyBorder="1" applyAlignment="1">
      <alignment horizontal="left" vertical="center" shrinkToFit="1"/>
    </xf>
    <xf numFmtId="0" fontId="11" fillId="0" borderId="2" xfId="0" applyNumberFormat="1" applyFont="1" applyBorder="1" applyAlignment="1">
      <alignment horizontal="center" vertical="center"/>
    </xf>
    <xf numFmtId="41" fontId="11" fillId="0" borderId="37" xfId="2" applyNumberFormat="1" applyFont="1" applyFill="1" applyBorder="1" applyAlignment="1">
      <alignment horizontal="center" vertical="center"/>
    </xf>
    <xf numFmtId="41" fontId="11" fillId="0" borderId="37" xfId="2" applyNumberFormat="1" applyFont="1" applyBorder="1" applyAlignment="1">
      <alignment horizontal="center" vertical="center"/>
    </xf>
    <xf numFmtId="41" fontId="11" fillId="2" borderId="37" xfId="4" applyNumberFormat="1" applyFont="1" applyFill="1" applyBorder="1" applyAlignment="1">
      <alignment horizontal="center" vertical="center"/>
    </xf>
    <xf numFmtId="179" fontId="11" fillId="0" borderId="37" xfId="2" applyNumberFormat="1" applyFont="1" applyBorder="1" applyAlignment="1">
      <alignment vertical="center"/>
    </xf>
    <xf numFmtId="0" fontId="9" fillId="0" borderId="18" xfId="0" applyNumberFormat="1" applyFont="1" applyBorder="1" applyAlignment="1">
      <alignment horizontal="center" vertical="center"/>
    </xf>
    <xf numFmtId="41" fontId="11" fillId="0" borderId="27" xfId="2" applyNumberFormat="1" applyFont="1" applyFill="1" applyBorder="1" applyAlignment="1">
      <alignment horizontal="center" vertical="center"/>
    </xf>
    <xf numFmtId="41" fontId="11" fillId="0" borderId="27" xfId="2" applyNumberFormat="1" applyFont="1" applyBorder="1" applyAlignment="1">
      <alignment horizontal="center" vertical="center"/>
    </xf>
    <xf numFmtId="41" fontId="11" fillId="2" borderId="27" xfId="4" applyNumberFormat="1" applyFont="1" applyFill="1" applyBorder="1" applyAlignment="1">
      <alignment horizontal="center" vertical="center"/>
    </xf>
    <xf numFmtId="179" fontId="11" fillId="0" borderId="27" xfId="2" applyNumberFormat="1" applyFont="1" applyBorder="1" applyAlignment="1">
      <alignment vertical="center"/>
    </xf>
    <xf numFmtId="0" fontId="9" fillId="0" borderId="12" xfId="0" applyNumberFormat="1" applyFont="1" applyBorder="1" applyAlignment="1">
      <alignment horizontal="left" vertical="center"/>
    </xf>
    <xf numFmtId="0" fontId="9" fillId="0" borderId="57" xfId="0" applyNumberFormat="1" applyFont="1" applyBorder="1" applyAlignment="1">
      <alignment horizontal="left" vertical="center"/>
    </xf>
    <xf numFmtId="41" fontId="11" fillId="0" borderId="49" xfId="2" applyNumberFormat="1" applyFont="1" applyFill="1" applyBorder="1" applyAlignment="1">
      <alignment horizontal="center" vertical="center"/>
    </xf>
    <xf numFmtId="41" fontId="11" fillId="0" borderId="49" xfId="2" applyNumberFormat="1" applyFont="1" applyBorder="1" applyAlignment="1">
      <alignment horizontal="center" vertical="center"/>
    </xf>
    <xf numFmtId="41" fontId="11" fillId="2" borderId="49" xfId="4" applyNumberFormat="1" applyFont="1" applyFill="1" applyBorder="1" applyAlignment="1">
      <alignment horizontal="center" vertical="center"/>
    </xf>
    <xf numFmtId="179" fontId="11" fillId="0" borderId="49" xfId="2" applyNumberFormat="1" applyFont="1" applyBorder="1" applyAlignment="1">
      <alignment vertical="center"/>
    </xf>
    <xf numFmtId="3" fontId="9" fillId="0" borderId="0" xfId="0" applyNumberFormat="1" applyFont="1" applyBorder="1">
      <alignment vertical="center"/>
    </xf>
    <xf numFmtId="0" fontId="9" fillId="0" borderId="15" xfId="0" applyNumberFormat="1" applyFont="1" applyBorder="1" applyAlignment="1">
      <alignment horizontal="center" vertical="center" wrapText="1"/>
    </xf>
    <xf numFmtId="41" fontId="11" fillId="0" borderId="29" xfId="2" applyNumberFormat="1" applyFont="1" applyFill="1" applyBorder="1" applyAlignment="1">
      <alignment horizontal="center" vertical="center"/>
    </xf>
    <xf numFmtId="41" fontId="11" fillId="0" borderId="29" xfId="2" applyNumberFormat="1" applyFont="1" applyBorder="1" applyAlignment="1">
      <alignment horizontal="center" vertical="center"/>
    </xf>
    <xf numFmtId="41" fontId="11" fillId="2" borderId="29" xfId="4" applyNumberFormat="1" applyFont="1" applyFill="1" applyBorder="1" applyAlignment="1">
      <alignment horizontal="center" vertical="center"/>
    </xf>
    <xf numFmtId="178" fontId="11" fillId="0" borderId="29" xfId="2" applyNumberFormat="1" applyFont="1" applyBorder="1" applyAlignment="1">
      <alignment horizontal="right" vertical="center"/>
    </xf>
    <xf numFmtId="179" fontId="11" fillId="0" borderId="29" xfId="2" applyNumberFormat="1" applyFont="1" applyBorder="1" applyAlignment="1">
      <alignment vertical="center"/>
    </xf>
    <xf numFmtId="184" fontId="9" fillId="0" borderId="0" xfId="0" applyNumberFormat="1" applyFont="1" applyBorder="1" applyAlignment="1">
      <alignment horizontal="center" vertical="center"/>
    </xf>
    <xf numFmtId="10" fontId="9" fillId="0" borderId="0" xfId="0" applyNumberFormat="1" applyFont="1" applyBorder="1" applyAlignment="1">
      <alignment horizontal="center" vertical="center"/>
    </xf>
    <xf numFmtId="0" fontId="9" fillId="0" borderId="58" xfId="0" applyNumberFormat="1" applyFont="1" applyBorder="1" applyAlignment="1">
      <alignment horizontal="left" vertical="center"/>
    </xf>
    <xf numFmtId="41" fontId="9" fillId="0" borderId="41" xfId="2" applyNumberFormat="1" applyFont="1" applyBorder="1">
      <alignment vertical="center"/>
    </xf>
    <xf numFmtId="183" fontId="9" fillId="0" borderId="41" xfId="0" applyNumberFormat="1" applyFont="1" applyBorder="1" applyAlignment="1">
      <alignment horizontal="center" vertical="center" shrinkToFit="1"/>
    </xf>
    <xf numFmtId="0" fontId="9" fillId="0" borderId="24" xfId="0" applyNumberFormat="1" applyFont="1" applyBorder="1">
      <alignment vertical="center"/>
    </xf>
    <xf numFmtId="41" fontId="11" fillId="2" borderId="46" xfId="4" applyNumberFormat="1" applyFont="1" applyFill="1" applyBorder="1" applyAlignment="1">
      <alignment horizontal="center" vertical="center"/>
    </xf>
    <xf numFmtId="0" fontId="11" fillId="0" borderId="7" xfId="0" applyNumberFormat="1" applyFont="1" applyBorder="1" applyAlignment="1">
      <alignment horizontal="center" vertical="center"/>
    </xf>
    <xf numFmtId="0" fontId="9" fillId="0" borderId="41" xfId="0" quotePrefix="1" applyNumberFormat="1" applyFont="1" applyBorder="1" applyAlignment="1">
      <alignment horizontal="center" vertical="center"/>
    </xf>
    <xf numFmtId="0" fontId="19" fillId="0" borderId="5" xfId="0" applyNumberFormat="1" applyFont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left" vertical="center"/>
    </xf>
    <xf numFmtId="0" fontId="9" fillId="0" borderId="36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left" vertical="center"/>
    </xf>
    <xf numFmtId="0" fontId="9" fillId="0" borderId="23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left" vertical="center"/>
    </xf>
    <xf numFmtId="0" fontId="9" fillId="0" borderId="44" xfId="0" applyNumberFormat="1" applyFont="1" applyBorder="1" applyAlignment="1">
      <alignment horizontal="center" vertical="center"/>
    </xf>
    <xf numFmtId="0" fontId="9" fillId="0" borderId="41" xfId="0" applyNumberFormat="1" applyFont="1" applyBorder="1" applyAlignment="1">
      <alignment horizontal="left" vertical="center"/>
    </xf>
    <xf numFmtId="0" fontId="9" fillId="0" borderId="12" xfId="0" applyNumberFormat="1" applyFont="1" applyBorder="1">
      <alignment vertical="center"/>
    </xf>
    <xf numFmtId="0" fontId="8" fillId="0" borderId="18" xfId="0" applyNumberFormat="1" applyFont="1" applyBorder="1" applyAlignment="1">
      <alignment horizontal="left" vertical="center"/>
    </xf>
    <xf numFmtId="0" fontId="19" fillId="0" borderId="3" xfId="0" applyNumberFormat="1" applyFont="1" applyBorder="1" applyAlignment="1">
      <alignment horizontal="center" vertical="center"/>
    </xf>
    <xf numFmtId="0" fontId="19" fillId="0" borderId="36" xfId="0" applyNumberFormat="1" applyFont="1" applyBorder="1" applyAlignment="1">
      <alignment horizontal="center" vertical="center"/>
    </xf>
    <xf numFmtId="41" fontId="19" fillId="0" borderId="37" xfId="2" applyNumberFormat="1" applyFont="1" applyFill="1" applyBorder="1" applyAlignment="1">
      <alignment horizontal="center" vertical="center"/>
    </xf>
    <xf numFmtId="41" fontId="19" fillId="0" borderId="37" xfId="2" applyNumberFormat="1" applyFont="1" applyBorder="1" applyAlignment="1">
      <alignment horizontal="center" vertical="center"/>
    </xf>
    <xf numFmtId="41" fontId="19" fillId="2" borderId="37" xfId="4" applyNumberFormat="1" applyFont="1" applyFill="1" applyBorder="1" applyAlignment="1">
      <alignment horizontal="center" vertical="center"/>
    </xf>
    <xf numFmtId="178" fontId="19" fillId="0" borderId="37" xfId="2" applyNumberFormat="1" applyFont="1" applyBorder="1" applyAlignment="1">
      <alignment horizontal="right" vertical="center"/>
    </xf>
    <xf numFmtId="179" fontId="19" fillId="0" borderId="37" xfId="2" applyNumberFormat="1" applyFont="1" applyBorder="1" applyAlignment="1">
      <alignment vertical="center"/>
    </xf>
    <xf numFmtId="41" fontId="9" fillId="0" borderId="18" xfId="0" applyNumberFormat="1" applyFont="1" applyBorder="1">
      <alignment vertical="center"/>
    </xf>
    <xf numFmtId="9" fontId="11" fillId="0" borderId="5" xfId="1" applyNumberFormat="1" applyFont="1" applyBorder="1" applyAlignment="1">
      <alignment horizontal="center" vertical="center"/>
    </xf>
    <xf numFmtId="0" fontId="9" fillId="0" borderId="36" xfId="0" applyNumberFormat="1" applyFont="1" applyBorder="1" applyAlignment="1">
      <alignment horizontal="center" vertical="center" wrapText="1"/>
    </xf>
    <xf numFmtId="0" fontId="9" fillId="0" borderId="23" xfId="0" applyNumberFormat="1" applyFont="1" applyBorder="1" applyAlignment="1">
      <alignment horizontal="center" vertical="center" wrapText="1"/>
    </xf>
    <xf numFmtId="41" fontId="9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left" vertical="center" wrapText="1"/>
    </xf>
    <xf numFmtId="0" fontId="8" fillId="0" borderId="57" xfId="0" applyNumberFormat="1" applyFont="1" applyBorder="1" applyAlignment="1">
      <alignment horizontal="left" vertical="center"/>
    </xf>
    <xf numFmtId="41" fontId="8" fillId="0" borderId="18" xfId="2" applyNumberFormat="1" applyFont="1" applyBorder="1">
      <alignment vertical="center"/>
    </xf>
    <xf numFmtId="0" fontId="9" fillId="0" borderId="2" xfId="0" applyNumberFormat="1" applyFont="1" applyBorder="1">
      <alignment vertical="center"/>
    </xf>
    <xf numFmtId="0" fontId="9" fillId="0" borderId="5" xfId="0" applyNumberFormat="1" applyFont="1" applyBorder="1">
      <alignment vertical="center"/>
    </xf>
    <xf numFmtId="0" fontId="13" fillId="0" borderId="0" xfId="0" applyNumberFormat="1" applyFont="1">
      <alignment vertical="center"/>
    </xf>
    <xf numFmtId="41" fontId="13" fillId="0" borderId="0" xfId="2" applyNumberFormat="1" applyFont="1">
      <alignment vertical="center"/>
    </xf>
    <xf numFmtId="0" fontId="9" fillId="0" borderId="0" xfId="0" applyNumberFormat="1" applyFont="1" applyFill="1" applyBorder="1" applyAlignment="1">
      <alignment horizontal="left" vertical="center"/>
    </xf>
    <xf numFmtId="41" fontId="9" fillId="0" borderId="0" xfId="2" applyNumberFormat="1" applyFont="1" applyFill="1" applyBorder="1">
      <alignment vertical="center"/>
    </xf>
    <xf numFmtId="0" fontId="11" fillId="0" borderId="20" xfId="0" applyNumberFormat="1" applyFont="1" applyBorder="1" applyAlignment="1">
      <alignment horizontal="center" vertical="center"/>
    </xf>
    <xf numFmtId="0" fontId="19" fillId="0" borderId="5" xfId="0" applyNumberFormat="1" applyFont="1" applyBorder="1" applyAlignment="1">
      <alignment horizontal="center" vertical="center"/>
    </xf>
    <xf numFmtId="0" fontId="19" fillId="0" borderId="23" xfId="0" applyNumberFormat="1" applyFont="1" applyBorder="1" applyAlignment="1">
      <alignment horizontal="center" vertical="center"/>
    </xf>
    <xf numFmtId="41" fontId="19" fillId="0" borderId="27" xfId="2" applyNumberFormat="1" applyFont="1" applyFill="1" applyBorder="1" applyAlignment="1">
      <alignment horizontal="center" vertical="center"/>
    </xf>
    <xf numFmtId="41" fontId="19" fillId="0" borderId="27" xfId="2" applyNumberFormat="1" applyFont="1" applyBorder="1" applyAlignment="1">
      <alignment horizontal="center" vertical="center"/>
    </xf>
    <xf numFmtId="41" fontId="19" fillId="2" borderId="27" xfId="4" applyNumberFormat="1" applyFont="1" applyFill="1" applyBorder="1" applyAlignment="1">
      <alignment horizontal="center" vertical="center"/>
    </xf>
    <xf numFmtId="178" fontId="19" fillId="0" borderId="27" xfId="2" applyNumberFormat="1" applyFont="1" applyBorder="1" applyAlignment="1">
      <alignment horizontal="right" vertical="center"/>
    </xf>
    <xf numFmtId="179" fontId="19" fillId="0" borderId="27" xfId="2" applyNumberFormat="1" applyFont="1" applyBorder="1" applyAlignment="1">
      <alignment vertical="center"/>
    </xf>
    <xf numFmtId="41" fontId="8" fillId="0" borderId="0" xfId="2" applyNumberFormat="1" applyFont="1" applyBorder="1">
      <alignment vertical="center"/>
    </xf>
    <xf numFmtId="0" fontId="8" fillId="0" borderId="28" xfId="0" applyNumberFormat="1" applyFont="1" applyBorder="1">
      <alignment vertical="center"/>
    </xf>
    <xf numFmtId="0" fontId="9" fillId="0" borderId="18" xfId="0" applyNumberFormat="1" applyFont="1" applyBorder="1" applyAlignment="1">
      <alignment horizontal="left" vertical="center" shrinkToFit="1"/>
    </xf>
    <xf numFmtId="0" fontId="10" fillId="0" borderId="18" xfId="0" applyNumberFormat="1" applyFont="1" applyBorder="1" applyAlignment="1">
      <alignment horizontal="center" vertical="center"/>
    </xf>
    <xf numFmtId="0" fontId="9" fillId="0" borderId="58" xfId="0" applyNumberFormat="1" applyFont="1" applyBorder="1" applyAlignment="1">
      <alignment horizontal="left" vertical="center" shrinkToFit="1"/>
    </xf>
    <xf numFmtId="0" fontId="9" fillId="0" borderId="0" xfId="0" applyNumberFormat="1" applyFont="1" applyBorder="1" applyAlignment="1">
      <alignment horizontal="left" vertical="center" shrinkToFit="1"/>
    </xf>
    <xf numFmtId="0" fontId="9" fillId="0" borderId="12" xfId="0" applyNumberFormat="1" applyFont="1" applyBorder="1" applyAlignment="1">
      <alignment horizontal="left" vertical="center" shrinkToFit="1"/>
    </xf>
    <xf numFmtId="0" fontId="9" fillId="0" borderId="17" xfId="0" applyNumberFormat="1" applyFont="1" applyBorder="1" applyAlignment="1">
      <alignment horizontal="center" vertical="center" wrapText="1"/>
    </xf>
    <xf numFmtId="0" fontId="9" fillId="0" borderId="57" xfId="0" applyNumberFormat="1" applyFont="1" applyBorder="1" applyAlignment="1">
      <alignment horizontal="left" vertical="center" shrinkToFit="1"/>
    </xf>
    <xf numFmtId="0" fontId="11" fillId="0" borderId="11" xfId="0" applyNumberFormat="1" applyFont="1" applyBorder="1" applyAlignment="1">
      <alignment horizontal="center" vertical="center"/>
    </xf>
    <xf numFmtId="0" fontId="9" fillId="0" borderId="25" xfId="0" applyNumberFormat="1" applyFont="1" applyBorder="1" applyAlignment="1">
      <alignment horizontal="center" vertical="center" wrapText="1"/>
    </xf>
    <xf numFmtId="41" fontId="19" fillId="0" borderId="1" xfId="2" applyNumberFormat="1" applyFont="1" applyBorder="1" applyAlignment="1">
      <alignment horizontal="center" vertical="center"/>
    </xf>
    <xf numFmtId="0" fontId="19" fillId="0" borderId="9" xfId="0" applyNumberFormat="1" applyFont="1" applyBorder="1" applyAlignment="1">
      <alignment horizontal="center" vertical="center"/>
    </xf>
    <xf numFmtId="0" fontId="19" fillId="0" borderId="71" xfId="0" applyNumberFormat="1" applyFont="1" applyBorder="1" applyAlignment="1">
      <alignment horizontal="center" vertical="center"/>
    </xf>
    <xf numFmtId="41" fontId="19" fillId="0" borderId="59" xfId="2" applyNumberFormat="1" applyFont="1" applyBorder="1" applyAlignment="1">
      <alignment horizontal="center" vertical="center"/>
    </xf>
    <xf numFmtId="41" fontId="19" fillId="2" borderId="59" xfId="4" applyNumberFormat="1" applyFont="1" applyFill="1" applyBorder="1" applyAlignment="1">
      <alignment horizontal="center" vertical="center"/>
    </xf>
    <xf numFmtId="178" fontId="19" fillId="0" borderId="59" xfId="2" applyNumberFormat="1" applyFont="1" applyBorder="1" applyAlignment="1">
      <alignment horizontal="right" vertical="center"/>
    </xf>
    <xf numFmtId="179" fontId="19" fillId="0" borderId="59" xfId="2" applyNumberFormat="1" applyFont="1" applyBorder="1" applyAlignment="1">
      <alignment vertical="center"/>
    </xf>
    <xf numFmtId="0" fontId="9" fillId="0" borderId="60" xfId="0" applyNumberFormat="1" applyFont="1" applyBorder="1" applyAlignment="1">
      <alignment horizontal="left" vertical="center"/>
    </xf>
    <xf numFmtId="41" fontId="9" fillId="0" borderId="61" xfId="2" applyNumberFormat="1" applyFont="1" applyBorder="1">
      <alignment vertical="center"/>
    </xf>
    <xf numFmtId="0" fontId="9" fillId="0" borderId="61" xfId="0" applyNumberFormat="1" applyFont="1" applyBorder="1">
      <alignment vertical="center"/>
    </xf>
    <xf numFmtId="0" fontId="9" fillId="0" borderId="61" xfId="0" applyNumberFormat="1" applyFont="1" applyBorder="1" applyAlignment="1">
      <alignment horizontal="center" vertical="center"/>
    </xf>
    <xf numFmtId="0" fontId="9" fillId="0" borderId="62" xfId="0" applyNumberFormat="1" applyFont="1" applyBorder="1">
      <alignment vertical="center"/>
    </xf>
    <xf numFmtId="0" fontId="19" fillId="0" borderId="3" xfId="0" applyNumberFormat="1" applyFont="1" applyBorder="1" applyAlignment="1">
      <alignment horizontal="center" vertical="center" wrapText="1"/>
    </xf>
    <xf numFmtId="0" fontId="11" fillId="0" borderId="15" xfId="0" applyNumberFormat="1" applyFont="1" applyBorder="1" applyAlignment="1">
      <alignment horizontal="center" vertical="center"/>
    </xf>
    <xf numFmtId="41" fontId="11" fillId="0" borderId="29" xfId="2" applyNumberFormat="1" applyFont="1" applyFill="1" applyBorder="1" applyAlignment="1">
      <alignment horizontal="center" vertical="center"/>
    </xf>
    <xf numFmtId="41" fontId="14" fillId="2" borderId="29" xfId="4" applyNumberFormat="1" applyFont="1" applyFill="1" applyBorder="1" applyAlignment="1">
      <alignment horizontal="center" vertical="center"/>
    </xf>
    <xf numFmtId="178" fontId="11" fillId="0" borderId="29" xfId="2" applyNumberFormat="1" applyFont="1" applyBorder="1" applyAlignment="1">
      <alignment horizontal="right" vertical="center"/>
    </xf>
    <xf numFmtId="179" fontId="11" fillId="0" borderId="29" xfId="2" applyNumberFormat="1" applyFont="1" applyBorder="1" applyAlignment="1">
      <alignment vertical="center"/>
    </xf>
    <xf numFmtId="0" fontId="9" fillId="0" borderId="42" xfId="0" applyNumberFormat="1" applyFont="1" applyBorder="1" applyAlignment="1">
      <alignment horizontal="left" vertical="center"/>
    </xf>
    <xf numFmtId="41" fontId="9" fillId="0" borderId="42" xfId="2" applyNumberFormat="1" applyFont="1" applyBorder="1">
      <alignment vertical="center"/>
    </xf>
    <xf numFmtId="0" fontId="9" fillId="0" borderId="42" xfId="0" applyNumberFormat="1" applyFont="1" applyBorder="1">
      <alignment vertical="center"/>
    </xf>
    <xf numFmtId="0" fontId="9" fillId="0" borderId="42" xfId="0" applyNumberFormat="1" applyFont="1" applyBorder="1" applyAlignment="1">
      <alignment horizontal="center" vertical="center"/>
    </xf>
    <xf numFmtId="0" fontId="9" fillId="0" borderId="42" xfId="0" applyNumberFormat="1" applyFont="1" applyBorder="1" applyAlignment="1">
      <alignment horizontal="center" vertical="center"/>
    </xf>
    <xf numFmtId="0" fontId="19" fillId="0" borderId="5" xfId="0" applyNumberFormat="1" applyFont="1" applyBorder="1" applyAlignment="1">
      <alignment horizontal="center" vertical="center" wrapText="1"/>
    </xf>
    <xf numFmtId="41" fontId="11" fillId="0" borderId="37" xfId="4" applyNumberFormat="1" applyFont="1" applyFill="1" applyBorder="1" applyAlignment="1">
      <alignment horizontal="center" vertical="center" wrapText="1"/>
    </xf>
    <xf numFmtId="41" fontId="11" fillId="0" borderId="37" xfId="4" applyNumberFormat="1" applyFont="1" applyBorder="1" applyAlignment="1">
      <alignment horizontal="center" vertical="center" wrapText="1"/>
    </xf>
    <xf numFmtId="41" fontId="11" fillId="2" borderId="37" xfId="4" applyNumberFormat="1" applyFont="1" applyFill="1" applyBorder="1" applyAlignment="1">
      <alignment horizontal="center" vertical="center" wrapText="1"/>
    </xf>
    <xf numFmtId="178" fontId="11" fillId="0" borderId="37" xfId="4" applyNumberFormat="1" applyFont="1" applyBorder="1" applyAlignment="1">
      <alignment horizontal="right" vertical="center" wrapText="1"/>
    </xf>
    <xf numFmtId="179" fontId="11" fillId="0" borderId="37" xfId="4" applyNumberFormat="1" applyFont="1" applyBorder="1" applyAlignment="1">
      <alignment vertical="center" wrapText="1"/>
    </xf>
    <xf numFmtId="41" fontId="9" fillId="0" borderId="18" xfId="4" applyNumberFormat="1" applyFont="1" applyBorder="1">
      <alignment vertical="center"/>
    </xf>
    <xf numFmtId="41" fontId="11" fillId="0" borderId="27" xfId="4" applyNumberFormat="1" applyFont="1" applyFill="1" applyBorder="1" applyAlignment="1">
      <alignment horizontal="center" vertical="center" wrapText="1"/>
    </xf>
    <xf numFmtId="41" fontId="11" fillId="0" borderId="27" xfId="4" applyNumberFormat="1" applyFont="1" applyBorder="1" applyAlignment="1">
      <alignment horizontal="center" vertical="center" wrapText="1"/>
    </xf>
    <xf numFmtId="41" fontId="11" fillId="2" borderId="27" xfId="4" applyNumberFormat="1" applyFont="1" applyFill="1" applyBorder="1" applyAlignment="1">
      <alignment horizontal="center" vertical="center" wrapText="1"/>
    </xf>
    <xf numFmtId="178" fontId="11" fillId="0" borderId="27" xfId="4" applyNumberFormat="1" applyFont="1" applyBorder="1" applyAlignment="1">
      <alignment horizontal="right" vertical="center" wrapText="1"/>
    </xf>
    <xf numFmtId="179" fontId="11" fillId="0" borderId="27" xfId="4" applyNumberFormat="1" applyFont="1" applyBorder="1" applyAlignment="1">
      <alignment vertical="center" wrapText="1"/>
    </xf>
    <xf numFmtId="0" fontId="9" fillId="0" borderId="0" xfId="0" applyNumberFormat="1" applyFont="1" applyAlignment="1">
      <alignment horizontal="left" vertical="center" shrinkToFit="1"/>
    </xf>
    <xf numFmtId="41" fontId="9" fillId="0" borderId="0" xfId="4" applyNumberFormat="1" applyFont="1">
      <alignment vertical="center"/>
    </xf>
    <xf numFmtId="0" fontId="10" fillId="0" borderId="0" xfId="0" applyNumberFormat="1" applyFont="1" applyAlignment="1">
      <alignment horizontal="center" vertical="center"/>
    </xf>
    <xf numFmtId="0" fontId="9" fillId="0" borderId="0" xfId="0" quotePrefix="1" applyNumberFormat="1" applyFont="1" applyAlignment="1">
      <alignment horizontal="center" vertical="center"/>
    </xf>
    <xf numFmtId="0" fontId="9" fillId="0" borderId="44" xfId="0" applyNumberFormat="1" applyFont="1" applyBorder="1" applyAlignment="1">
      <alignment horizontal="center" vertical="center" wrapText="1"/>
    </xf>
    <xf numFmtId="41" fontId="11" fillId="0" borderId="49" xfId="4" applyNumberFormat="1" applyFont="1" applyFill="1" applyBorder="1" applyAlignment="1">
      <alignment horizontal="center" vertical="center" wrapText="1"/>
    </xf>
    <xf numFmtId="41" fontId="11" fillId="0" borderId="49" xfId="4" applyNumberFormat="1" applyFont="1" applyBorder="1" applyAlignment="1">
      <alignment horizontal="center" vertical="center" wrapText="1"/>
    </xf>
    <xf numFmtId="41" fontId="11" fillId="2" borderId="49" xfId="4" applyNumberFormat="1" applyFont="1" applyFill="1" applyBorder="1" applyAlignment="1">
      <alignment horizontal="center" vertical="center" wrapText="1"/>
    </xf>
    <xf numFmtId="178" fontId="11" fillId="0" borderId="49" xfId="4" applyNumberFormat="1" applyFont="1" applyBorder="1" applyAlignment="1">
      <alignment horizontal="right" vertical="center" wrapText="1"/>
    </xf>
    <xf numFmtId="179" fontId="11" fillId="0" borderId="49" xfId="4" applyNumberFormat="1" applyFont="1" applyBorder="1" applyAlignment="1">
      <alignment vertical="center" wrapText="1"/>
    </xf>
    <xf numFmtId="0" fontId="9" fillId="0" borderId="36" xfId="0" applyNumberFormat="1" applyFont="1" applyBorder="1" applyAlignment="1">
      <alignment horizontal="center" vertical="center" wrapText="1" shrinkToFit="1"/>
    </xf>
    <xf numFmtId="41" fontId="11" fillId="0" borderId="37" xfId="4" applyNumberFormat="1" applyFont="1" applyFill="1" applyBorder="1" applyAlignment="1">
      <alignment horizontal="center" vertical="center"/>
    </xf>
    <xf numFmtId="41" fontId="11" fillId="0" borderId="37" xfId="4" applyNumberFormat="1" applyFont="1" applyBorder="1" applyAlignment="1">
      <alignment horizontal="center" vertical="center"/>
    </xf>
    <xf numFmtId="178" fontId="11" fillId="0" borderId="37" xfId="4" applyNumberFormat="1" applyFont="1" applyBorder="1" applyAlignment="1">
      <alignment horizontal="right" vertical="center"/>
    </xf>
    <xf numFmtId="179" fontId="11" fillId="0" borderId="37" xfId="4" applyNumberFormat="1" applyFont="1" applyBorder="1" applyAlignment="1">
      <alignment vertical="center"/>
    </xf>
    <xf numFmtId="0" fontId="9" fillId="0" borderId="23" xfId="0" applyNumberFormat="1" applyFont="1" applyBorder="1" applyAlignment="1">
      <alignment horizontal="center" vertical="center" shrinkToFit="1"/>
    </xf>
    <xf numFmtId="41" fontId="11" fillId="0" borderId="27" xfId="4" applyNumberFormat="1" applyFont="1" applyFill="1" applyBorder="1" applyAlignment="1">
      <alignment horizontal="center" vertical="center"/>
    </xf>
    <xf numFmtId="41" fontId="11" fillId="0" borderId="27" xfId="4" applyNumberFormat="1" applyFont="1" applyBorder="1" applyAlignment="1">
      <alignment horizontal="center" vertical="center"/>
    </xf>
    <xf numFmtId="178" fontId="11" fillId="0" borderId="27" xfId="4" applyNumberFormat="1" applyFont="1" applyBorder="1" applyAlignment="1">
      <alignment horizontal="right" vertical="center"/>
    </xf>
    <xf numFmtId="179" fontId="11" fillId="0" borderId="27" xfId="4" applyNumberFormat="1" applyFont="1" applyBorder="1" applyAlignment="1">
      <alignment vertical="center"/>
    </xf>
    <xf numFmtId="0" fontId="9" fillId="0" borderId="0" xfId="0" applyNumberFormat="1" applyFont="1" applyAlignment="1">
      <alignment horizontal="left" vertical="center"/>
    </xf>
    <xf numFmtId="0" fontId="9" fillId="0" borderId="44" xfId="0" applyNumberFormat="1" applyFont="1" applyBorder="1" applyAlignment="1">
      <alignment horizontal="center" vertical="center" shrinkToFit="1"/>
    </xf>
    <xf numFmtId="41" fontId="11" fillId="0" borderId="49" xfId="4" applyNumberFormat="1" applyFont="1" applyFill="1" applyBorder="1" applyAlignment="1">
      <alignment horizontal="center" vertical="center"/>
    </xf>
    <xf numFmtId="41" fontId="11" fillId="0" borderId="49" xfId="4" applyNumberFormat="1" applyFont="1" applyBorder="1" applyAlignment="1">
      <alignment horizontal="center" vertical="center"/>
    </xf>
    <xf numFmtId="178" fontId="11" fillId="0" borderId="49" xfId="4" applyNumberFormat="1" applyFont="1" applyBorder="1" applyAlignment="1">
      <alignment horizontal="right" vertical="center"/>
    </xf>
    <xf numFmtId="179" fontId="11" fillId="0" borderId="49" xfId="4" applyNumberFormat="1" applyFont="1" applyBorder="1" applyAlignment="1">
      <alignment vertical="center"/>
    </xf>
    <xf numFmtId="0" fontId="9" fillId="0" borderId="41" xfId="0" applyNumberFormat="1" applyFont="1" applyBorder="1" applyAlignment="1">
      <alignment horizontal="left" vertical="center" shrinkToFit="1"/>
    </xf>
    <xf numFmtId="41" fontId="19" fillId="0" borderId="2" xfId="2" applyNumberFormat="1" applyFont="1" applyBorder="1" applyAlignment="1">
      <alignment horizontal="center" vertical="center"/>
    </xf>
    <xf numFmtId="41" fontId="9" fillId="0" borderId="0" xfId="4" applyNumberFormat="1" applyFont="1" applyBorder="1">
      <alignment vertical="center"/>
    </xf>
    <xf numFmtId="0" fontId="9" fillId="0" borderId="19" xfId="0" applyNumberFormat="1" applyFont="1" applyBorder="1" applyAlignment="1">
      <alignment horizontal="center" vertical="center" wrapText="1"/>
    </xf>
    <xf numFmtId="0" fontId="9" fillId="0" borderId="18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left" vertical="center" shrinkToFit="1"/>
    </xf>
    <xf numFmtId="0" fontId="9" fillId="0" borderId="0" xfId="0" applyNumberFormat="1" applyFont="1" applyFill="1" applyBorder="1" applyAlignment="1">
      <alignment horizontal="left" vertical="center" wrapText="1" shrinkToFit="1"/>
    </xf>
    <xf numFmtId="0" fontId="14" fillId="0" borderId="44" xfId="0" applyNumberFormat="1" applyFont="1" applyBorder="1" applyAlignment="1">
      <alignment horizontal="center" vertical="center" wrapText="1"/>
    </xf>
    <xf numFmtId="41" fontId="11" fillId="0" borderId="49" xfId="2" applyNumberFormat="1" applyFont="1" applyFill="1" applyBorder="1" applyAlignment="1">
      <alignment vertical="center"/>
    </xf>
    <xf numFmtId="41" fontId="11" fillId="0" borderId="49" xfId="2" applyNumberFormat="1" applyFont="1" applyBorder="1" applyAlignment="1">
      <alignment vertical="center"/>
    </xf>
    <xf numFmtId="41" fontId="11" fillId="2" borderId="49" xfId="4" applyNumberFormat="1" applyFont="1" applyFill="1" applyBorder="1" applyAlignment="1">
      <alignment vertical="center"/>
    </xf>
    <xf numFmtId="178" fontId="11" fillId="0" borderId="49" xfId="2" applyNumberFormat="1" applyFont="1" applyBorder="1" applyAlignment="1">
      <alignment horizontal="right" vertical="center"/>
    </xf>
    <xf numFmtId="179" fontId="11" fillId="0" borderId="49" xfId="2" applyNumberFormat="1" applyFont="1" applyBorder="1" applyAlignment="1">
      <alignment vertical="center"/>
    </xf>
    <xf numFmtId="0" fontId="9" fillId="0" borderId="63" xfId="0" applyNumberFormat="1" applyFont="1" applyBorder="1" applyAlignment="1">
      <alignment horizontal="left" vertical="center"/>
    </xf>
    <xf numFmtId="41" fontId="9" fillId="0" borderId="42" xfId="0" applyNumberFormat="1" applyFont="1" applyBorder="1">
      <alignment vertical="center"/>
    </xf>
    <xf numFmtId="0" fontId="9" fillId="0" borderId="41" xfId="0" applyNumberFormat="1" applyFont="1" applyFill="1" applyBorder="1" applyAlignment="1">
      <alignment horizontal="left" vertical="center"/>
    </xf>
    <xf numFmtId="0" fontId="9" fillId="0" borderId="41" xfId="0" applyNumberFormat="1" applyFont="1" applyFill="1" applyBorder="1">
      <alignment vertical="center"/>
    </xf>
    <xf numFmtId="0" fontId="9" fillId="0" borderId="15" xfId="0" applyNumberFormat="1" applyFont="1" applyBorder="1" applyAlignment="1">
      <alignment horizontal="center" vertical="center"/>
    </xf>
    <xf numFmtId="41" fontId="11" fillId="0" borderId="29" xfId="4" applyNumberFormat="1" applyFont="1" applyFill="1" applyBorder="1" applyAlignment="1">
      <alignment horizontal="center" vertical="center"/>
    </xf>
    <xf numFmtId="41" fontId="11" fillId="0" borderId="29" xfId="4" applyNumberFormat="1" applyFont="1" applyBorder="1" applyAlignment="1">
      <alignment horizontal="center" vertical="center"/>
    </xf>
    <xf numFmtId="178" fontId="11" fillId="0" borderId="29" xfId="4" applyNumberFormat="1" applyFont="1" applyBorder="1" applyAlignment="1">
      <alignment horizontal="right" vertical="center"/>
    </xf>
    <xf numFmtId="179" fontId="11" fillId="0" borderId="29" xfId="4" applyNumberFormat="1" applyFont="1" applyBorder="1" applyAlignment="1">
      <alignment vertical="center"/>
    </xf>
    <xf numFmtId="179" fontId="11" fillId="0" borderId="37" xfId="4" applyNumberFormat="1" applyFont="1" applyBorder="1" applyAlignment="1">
      <alignment horizontal="right" vertical="center"/>
    </xf>
    <xf numFmtId="179" fontId="11" fillId="0" borderId="27" xfId="4" applyNumberFormat="1" applyFont="1" applyBorder="1" applyAlignment="1">
      <alignment horizontal="right" vertical="center"/>
    </xf>
    <xf numFmtId="0" fontId="11" fillId="0" borderId="5" xfId="0" applyNumberFormat="1" applyFont="1" applyBorder="1" applyAlignment="1">
      <alignment horizontal="center" vertical="center" shrinkToFit="1"/>
    </xf>
    <xf numFmtId="179" fontId="11" fillId="0" borderId="49" xfId="4" applyNumberFormat="1" applyFont="1" applyBorder="1" applyAlignment="1">
      <alignment horizontal="right" vertical="center"/>
    </xf>
    <xf numFmtId="179" fontId="11" fillId="0" borderId="57" xfId="4" applyNumberFormat="1" applyFont="1" applyBorder="1" applyAlignment="1">
      <alignment vertical="center"/>
    </xf>
    <xf numFmtId="41" fontId="11" fillId="2" borderId="37" xfId="4" applyNumberFormat="1" applyFont="1" applyFill="1" applyBorder="1" applyAlignment="1">
      <alignment vertical="center"/>
    </xf>
    <xf numFmtId="179" fontId="11" fillId="0" borderId="12" xfId="4" applyNumberFormat="1" applyFont="1" applyBorder="1" applyAlignment="1">
      <alignment vertical="center"/>
    </xf>
    <xf numFmtId="179" fontId="11" fillId="0" borderId="58" xfId="4" applyNumberFormat="1" applyFont="1" applyBorder="1" applyAlignment="1">
      <alignment vertical="center"/>
    </xf>
    <xf numFmtId="178" fontId="9" fillId="0" borderId="41" xfId="4" applyNumberFormat="1" applyFont="1" applyBorder="1">
      <alignment vertical="center"/>
    </xf>
    <xf numFmtId="0" fontId="19" fillId="0" borderId="4" xfId="0" applyNumberFormat="1" applyFont="1" applyBorder="1" applyAlignment="1">
      <alignment horizontal="center" vertical="center" wrapText="1"/>
    </xf>
    <xf numFmtId="0" fontId="9" fillId="0" borderId="23" xfId="0" applyNumberFormat="1" applyFont="1" applyBorder="1" applyAlignment="1">
      <alignment horizontal="center" vertical="center"/>
    </xf>
    <xf numFmtId="41" fontId="11" fillId="0" borderId="27" xfId="4" applyNumberFormat="1" applyFont="1" applyFill="1" applyBorder="1" applyAlignment="1">
      <alignment horizontal="center" vertical="center"/>
    </xf>
    <xf numFmtId="178" fontId="11" fillId="0" borderId="27" xfId="4" applyNumberFormat="1" applyFont="1" applyBorder="1" applyAlignment="1">
      <alignment horizontal="right" vertical="center"/>
    </xf>
    <xf numFmtId="179" fontId="11" fillId="0" borderId="27" xfId="4" applyNumberFormat="1" applyFont="1" applyBorder="1" applyAlignment="1">
      <alignment vertical="center" shrinkToFit="1"/>
    </xf>
    <xf numFmtId="0" fontId="8" fillId="0" borderId="0" xfId="0" applyNumberFormat="1" applyFont="1" applyBorder="1" applyAlignment="1">
      <alignment horizontal="left" vertical="center"/>
    </xf>
    <xf numFmtId="0" fontId="8" fillId="0" borderId="0" xfId="0" applyNumberFormat="1" applyFont="1" applyBorder="1" applyAlignment="1">
      <alignment horizontal="left" vertical="center" shrinkToFit="1"/>
    </xf>
    <xf numFmtId="0" fontId="11" fillId="0" borderId="5" xfId="0" applyNumberFormat="1" applyFont="1" applyBorder="1" applyAlignment="1">
      <alignment horizontal="center" vertical="center" wrapText="1"/>
    </xf>
    <xf numFmtId="0" fontId="11" fillId="0" borderId="17" xfId="0" applyNumberFormat="1" applyFont="1" applyBorder="1" applyAlignment="1">
      <alignment horizontal="center" vertical="center"/>
    </xf>
    <xf numFmtId="0" fontId="11" fillId="0" borderId="25" xfId="0" applyNumberFormat="1" applyFont="1" applyBorder="1" applyAlignment="1">
      <alignment horizontal="center" vertical="center"/>
    </xf>
    <xf numFmtId="0" fontId="13" fillId="0" borderId="12" xfId="0" applyNumberFormat="1" applyFont="1" applyBorder="1" applyAlignment="1">
      <alignment horizontal="left" vertical="center"/>
    </xf>
    <xf numFmtId="0" fontId="13" fillId="0" borderId="12" xfId="0" applyNumberFormat="1" applyFont="1" applyBorder="1" applyAlignment="1">
      <alignment horizontal="left" vertical="center" shrinkToFit="1"/>
    </xf>
    <xf numFmtId="0" fontId="11" fillId="0" borderId="19" xfId="0" applyNumberFormat="1" applyFont="1" applyBorder="1" applyAlignment="1">
      <alignment horizontal="center" vertical="center"/>
    </xf>
    <xf numFmtId="0" fontId="13" fillId="0" borderId="58" xfId="0" applyNumberFormat="1" applyFont="1" applyBorder="1" applyAlignment="1">
      <alignment horizontal="left" vertical="center"/>
    </xf>
    <xf numFmtId="0" fontId="11" fillId="0" borderId="12" xfId="0" applyNumberFormat="1" applyFont="1" applyBorder="1">
      <alignment vertical="center"/>
    </xf>
    <xf numFmtId="0" fontId="8" fillId="0" borderId="3" xfId="0" applyNumberFormat="1" applyFont="1" applyBorder="1" applyAlignment="1">
      <alignment horizontal="center" vertical="center"/>
    </xf>
    <xf numFmtId="41" fontId="11" fillId="2" borderId="29" xfId="4" applyNumberFormat="1" applyFont="1" applyFill="1" applyBorder="1" applyAlignment="1">
      <alignment horizontal="center" vertical="center"/>
    </xf>
    <xf numFmtId="0" fontId="10" fillId="0" borderId="42" xfId="0" applyNumberFormat="1" applyFont="1" applyBorder="1" applyAlignment="1">
      <alignment horizontal="center" vertical="center"/>
    </xf>
    <xf numFmtId="0" fontId="9" fillId="0" borderId="42" xfId="0" quotePrefix="1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23" xfId="0" applyNumberFormat="1" applyFont="1" applyBorder="1" applyAlignment="1">
      <alignment horizontal="left" vertical="center"/>
    </xf>
    <xf numFmtId="41" fontId="8" fillId="0" borderId="0" xfId="4" applyNumberFormat="1" applyFont="1" applyBorder="1">
      <alignment vertical="center"/>
    </xf>
    <xf numFmtId="0" fontId="8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quotePrefix="1" applyNumberFormat="1" applyFont="1" applyBorder="1" applyAlignment="1">
      <alignment horizontal="center" vertical="center"/>
    </xf>
    <xf numFmtId="41" fontId="11" fillId="0" borderId="12" xfId="2" applyNumberFormat="1" applyFont="1" applyBorder="1" applyAlignment="1">
      <alignment horizontal="center" vertical="center"/>
    </xf>
    <xf numFmtId="41" fontId="23" fillId="0" borderId="2" xfId="2" applyNumberFormat="1" applyFont="1" applyBorder="1" applyAlignment="1">
      <alignment horizontal="center" vertical="center"/>
    </xf>
    <xf numFmtId="41" fontId="23" fillId="0" borderId="12" xfId="2" applyNumberFormat="1" applyFont="1" applyBorder="1" applyAlignment="1">
      <alignment horizontal="center" vertical="center"/>
    </xf>
    <xf numFmtId="0" fontId="24" fillId="0" borderId="3" xfId="0" applyNumberFormat="1" applyFont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0" fontId="24" fillId="0" borderId="5" xfId="0" applyNumberFormat="1" applyFont="1" applyBorder="1" applyAlignment="1">
      <alignment horizontal="center" vertical="center"/>
    </xf>
    <xf numFmtId="0" fontId="9" fillId="0" borderId="23" xfId="0" applyNumberFormat="1" applyFont="1" applyBorder="1" applyAlignment="1">
      <alignment horizontal="left" vertical="center" wrapText="1"/>
    </xf>
    <xf numFmtId="0" fontId="9" fillId="0" borderId="58" xfId="0" applyNumberFormat="1" applyFont="1" applyBorder="1" applyAlignment="1">
      <alignment horizontal="left" vertical="center" wrapText="1"/>
    </xf>
    <xf numFmtId="0" fontId="19" fillId="0" borderId="7" xfId="0" applyNumberFormat="1" applyFont="1" applyBorder="1" applyAlignment="1">
      <alignment horizontal="center" vertical="center"/>
    </xf>
    <xf numFmtId="0" fontId="9" fillId="0" borderId="58" xfId="0" applyNumberFormat="1" applyFont="1" applyFill="1" applyBorder="1" applyAlignment="1">
      <alignment horizontal="left" vertical="center" wrapText="1"/>
    </xf>
    <xf numFmtId="0" fontId="11" fillId="0" borderId="15" xfId="0" applyNumberFormat="1" applyFont="1" applyBorder="1" applyAlignment="1">
      <alignment horizontal="center" vertical="center" wrapText="1"/>
    </xf>
    <xf numFmtId="41" fontId="11" fillId="0" borderId="29" xfId="2" applyNumberFormat="1" applyFont="1" applyFill="1" applyBorder="1" applyAlignment="1">
      <alignment vertical="center"/>
    </xf>
    <xf numFmtId="41" fontId="11" fillId="0" borderId="29" xfId="2" applyNumberFormat="1" applyFont="1" applyBorder="1" applyAlignment="1">
      <alignment vertical="center"/>
    </xf>
    <xf numFmtId="41" fontId="11" fillId="2" borderId="29" xfId="4" applyNumberFormat="1" applyFont="1" applyFill="1" applyBorder="1" applyAlignment="1">
      <alignment vertical="center"/>
    </xf>
    <xf numFmtId="0" fontId="8" fillId="0" borderId="28" xfId="0" applyNumberFormat="1" applyFont="1" applyFill="1" applyBorder="1">
      <alignment vertical="center"/>
    </xf>
    <xf numFmtId="0" fontId="8" fillId="0" borderId="23" xfId="0" quotePrefix="1" applyNumberFormat="1" applyFont="1" applyFill="1" applyBorder="1" applyAlignment="1">
      <alignment horizontal="left" vertical="center" wrapText="1"/>
    </xf>
    <xf numFmtId="41" fontId="8" fillId="0" borderId="0" xfId="4" applyNumberFormat="1" applyFont="1" applyFill="1" applyBorder="1">
      <alignment vertical="center"/>
    </xf>
    <xf numFmtId="0" fontId="8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quotePrefix="1" applyNumberFormat="1" applyFont="1" applyFill="1" applyBorder="1" applyAlignment="1">
      <alignment horizontal="center" vertical="center"/>
    </xf>
    <xf numFmtId="0" fontId="11" fillId="0" borderId="2" xfId="0" applyNumberFormat="1" applyFont="1" applyBorder="1">
      <alignment vertical="center"/>
    </xf>
    <xf numFmtId="0" fontId="11" fillId="0" borderId="5" xfId="0" applyNumberFormat="1" applyFont="1" applyBorder="1">
      <alignment vertical="center"/>
    </xf>
    <xf numFmtId="0" fontId="8" fillId="0" borderId="23" xfId="0" quotePrefix="1" applyNumberFormat="1" applyFont="1" applyBorder="1" applyAlignment="1">
      <alignment horizontal="left" vertical="center" wrapText="1"/>
    </xf>
    <xf numFmtId="0" fontId="11" fillId="0" borderId="0" xfId="0" applyNumberFormat="1" applyFont="1" applyBorder="1">
      <alignment vertical="center"/>
    </xf>
    <xf numFmtId="0" fontId="9" fillId="0" borderId="5" xfId="0" applyNumberFormat="1" applyFont="1" applyBorder="1" applyAlignment="1">
      <alignment horizontal="center" vertical="center"/>
    </xf>
    <xf numFmtId="0" fontId="8" fillId="0" borderId="12" xfId="0" quotePrefix="1" applyNumberFormat="1" applyFont="1" applyBorder="1" applyAlignment="1">
      <alignment horizontal="left" vertical="center" wrapText="1"/>
    </xf>
    <xf numFmtId="0" fontId="8" fillId="0" borderId="0" xfId="0" quotePrefix="1" applyNumberFormat="1" applyFont="1" applyBorder="1" applyAlignment="1">
      <alignment horizontal="left" vertical="center" wrapText="1"/>
    </xf>
    <xf numFmtId="0" fontId="9" fillId="0" borderId="36" xfId="0" applyNumberFormat="1" applyFont="1" applyBorder="1" applyAlignment="1">
      <alignment horizontal="left" vertical="center" wrapText="1"/>
    </xf>
    <xf numFmtId="0" fontId="9" fillId="0" borderId="23" xfId="0" quotePrefix="1" applyNumberFormat="1" applyFont="1" applyBorder="1" applyAlignment="1">
      <alignment horizontal="left" vertical="center"/>
    </xf>
    <xf numFmtId="0" fontId="9" fillId="0" borderId="12" xfId="0" quotePrefix="1" applyNumberFormat="1" applyFont="1" applyBorder="1" applyAlignment="1">
      <alignment horizontal="left" vertical="center"/>
    </xf>
    <xf numFmtId="0" fontId="9" fillId="0" borderId="58" xfId="0" quotePrefix="1" applyNumberFormat="1" applyFont="1" applyBorder="1" applyAlignment="1">
      <alignment horizontal="left" vertical="center" shrinkToFit="1"/>
    </xf>
    <xf numFmtId="0" fontId="11" fillId="0" borderId="36" xfId="0" applyNumberFormat="1" applyFont="1" applyBorder="1" applyAlignment="1">
      <alignment horizontal="center" vertical="center"/>
    </xf>
    <xf numFmtId="41" fontId="11" fillId="0" borderId="37" xfId="2" applyNumberFormat="1" applyFont="1" applyFill="1" applyBorder="1" applyAlignment="1">
      <alignment horizontal="center" vertical="center"/>
    </xf>
    <xf numFmtId="41" fontId="11" fillId="0" borderId="37" xfId="2" applyNumberFormat="1" applyFont="1" applyBorder="1" applyAlignment="1">
      <alignment horizontal="center" vertical="center"/>
    </xf>
    <xf numFmtId="178" fontId="11" fillId="0" borderId="37" xfId="2" applyNumberFormat="1" applyFont="1" applyBorder="1" applyAlignment="1">
      <alignment horizontal="right" vertical="center"/>
    </xf>
    <xf numFmtId="179" fontId="11" fillId="0" borderId="37" xfId="2" applyNumberFormat="1" applyFont="1" applyBorder="1" applyAlignment="1">
      <alignment vertical="center"/>
    </xf>
    <xf numFmtId="0" fontId="9" fillId="0" borderId="18" xfId="0" quotePrefix="1" applyNumberFormat="1" applyFont="1" applyBorder="1" applyAlignment="1">
      <alignment horizontal="center" vertical="center"/>
    </xf>
    <xf numFmtId="0" fontId="11" fillId="0" borderId="36" xfId="0" applyNumberFormat="1" applyFont="1" applyBorder="1" applyAlignment="1">
      <alignment horizontal="center" vertical="center" wrapText="1"/>
    </xf>
    <xf numFmtId="0" fontId="11" fillId="0" borderId="23" xfId="0" applyNumberFormat="1" applyFont="1" applyBorder="1" applyAlignment="1">
      <alignment horizontal="center" vertical="center"/>
    </xf>
    <xf numFmtId="0" fontId="11" fillId="0" borderId="36" xfId="0" applyNumberFormat="1" applyFont="1" applyBorder="1" applyAlignment="1">
      <alignment horizontal="center" vertical="center"/>
    </xf>
    <xf numFmtId="0" fontId="11" fillId="0" borderId="44" xfId="0" applyNumberFormat="1" applyFont="1" applyBorder="1" applyAlignment="1">
      <alignment horizontal="center" vertical="center"/>
    </xf>
    <xf numFmtId="0" fontId="11" fillId="0" borderId="19" xfId="0" applyNumberFormat="1" applyFont="1" applyBorder="1" applyAlignment="1">
      <alignment horizontal="center" vertical="center" wrapText="1"/>
    </xf>
    <xf numFmtId="41" fontId="19" fillId="0" borderId="12" xfId="2" applyNumberFormat="1" applyFont="1" applyBorder="1" applyAlignment="1">
      <alignment horizontal="center" vertical="center"/>
    </xf>
    <xf numFmtId="0" fontId="11" fillId="0" borderId="23" xfId="0" applyNumberFormat="1" applyFont="1" applyBorder="1" applyAlignment="1">
      <alignment horizontal="center" vertical="center"/>
    </xf>
    <xf numFmtId="179" fontId="11" fillId="0" borderId="27" xfId="4" applyNumberFormat="1" applyFont="1" applyBorder="1" applyAlignment="1">
      <alignment vertical="center"/>
    </xf>
    <xf numFmtId="0" fontId="9" fillId="0" borderId="0" xfId="0" applyNumberFormat="1" applyFont="1" applyAlignment="1">
      <alignment horizontal="left" vertical="top" wrapText="1"/>
    </xf>
    <xf numFmtId="0" fontId="19" fillId="0" borderId="12" xfId="0" applyNumberFormat="1" applyFont="1" applyBorder="1">
      <alignment vertical="center"/>
    </xf>
    <xf numFmtId="41" fontId="11" fillId="0" borderId="29" xfId="2" applyNumberFormat="1" applyFont="1" applyBorder="1" applyAlignment="1">
      <alignment horizontal="center" vertical="center"/>
    </xf>
    <xf numFmtId="41" fontId="8" fillId="0" borderId="42" xfId="2" applyNumberFormat="1" applyFont="1" applyBorder="1">
      <alignment vertical="center"/>
    </xf>
    <xf numFmtId="0" fontId="9" fillId="0" borderId="58" xfId="0" applyNumberFormat="1" applyFont="1" applyFill="1" applyBorder="1" applyAlignment="1">
      <alignment vertical="center"/>
    </xf>
    <xf numFmtId="0" fontId="11" fillId="0" borderId="13" xfId="0" applyNumberFormat="1" applyFont="1" applyBorder="1" applyAlignment="1">
      <alignment horizontal="center" vertical="center" wrapText="1"/>
    </xf>
    <xf numFmtId="178" fontId="11" fillId="0" borderId="29" xfId="0" applyNumberFormat="1" applyFont="1" applyBorder="1" applyAlignment="1">
      <alignment horizontal="right" vertical="center"/>
    </xf>
    <xf numFmtId="178" fontId="11" fillId="2" borderId="29" xfId="0" applyNumberFormat="1" applyFont="1" applyFill="1" applyBorder="1" applyAlignment="1">
      <alignment horizontal="right" vertical="center"/>
    </xf>
    <xf numFmtId="41" fontId="9" fillId="0" borderId="18" xfId="4" applyNumberFormat="1" applyFont="1" applyFill="1" applyBorder="1">
      <alignment vertical="center"/>
    </xf>
    <xf numFmtId="0" fontId="9" fillId="0" borderId="18" xfId="0" applyNumberFormat="1" applyFont="1" applyFill="1" applyBorder="1">
      <alignment vertical="center"/>
    </xf>
    <xf numFmtId="0" fontId="10" fillId="0" borderId="18" xfId="0" applyNumberFormat="1" applyFont="1" applyFill="1" applyBorder="1" applyAlignment="1">
      <alignment horizontal="center" vertical="center"/>
    </xf>
    <xf numFmtId="0" fontId="9" fillId="0" borderId="39" xfId="0" applyNumberFormat="1" applyFont="1" applyFill="1" applyBorder="1">
      <alignment vertical="center"/>
    </xf>
    <xf numFmtId="0" fontId="9" fillId="0" borderId="58" xfId="0" applyNumberFormat="1" applyFont="1" applyFill="1" applyBorder="1" applyAlignment="1">
      <alignment horizontal="left" vertical="center"/>
    </xf>
    <xf numFmtId="0" fontId="19" fillId="0" borderId="3" xfId="0" applyNumberFormat="1" applyFont="1" applyFill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/>
    </xf>
    <xf numFmtId="41" fontId="11" fillId="2" borderId="63" xfId="4" applyNumberFormat="1" applyFont="1" applyFill="1" applyBorder="1" applyAlignment="1">
      <alignment horizontal="center" vertical="center"/>
    </xf>
    <xf numFmtId="0" fontId="8" fillId="0" borderId="22" xfId="0" applyNumberFormat="1" applyFont="1" applyBorder="1">
      <alignment vertical="center"/>
    </xf>
    <xf numFmtId="0" fontId="11" fillId="0" borderId="5" xfId="0" applyNumberFormat="1" applyFont="1" applyFill="1" applyBorder="1" applyAlignment="1">
      <alignment horizontal="center" vertical="center"/>
    </xf>
    <xf numFmtId="0" fontId="9" fillId="0" borderId="36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horizontal="left" vertical="center" wrapText="1"/>
    </xf>
    <xf numFmtId="0" fontId="11" fillId="0" borderId="7" xfId="0" applyNumberFormat="1" applyFont="1" applyFill="1" applyBorder="1" applyAlignment="1">
      <alignment horizontal="center" vertical="center"/>
    </xf>
    <xf numFmtId="0" fontId="11" fillId="0" borderId="13" xfId="0" applyNumberFormat="1" applyFont="1" applyBorder="1" applyAlignment="1">
      <alignment horizontal="center" vertical="center" wrapText="1"/>
    </xf>
    <xf numFmtId="41" fontId="11" fillId="0" borderId="27" xfId="2" applyNumberFormat="1" applyFont="1" applyFill="1" applyBorder="1" applyAlignment="1">
      <alignment horizontal="center" vertical="center"/>
    </xf>
    <xf numFmtId="41" fontId="11" fillId="0" borderId="27" xfId="2" applyNumberFormat="1" applyFont="1" applyBorder="1" applyAlignment="1">
      <alignment horizontal="center" vertical="center"/>
    </xf>
    <xf numFmtId="178" fontId="11" fillId="0" borderId="27" xfId="2" applyNumberFormat="1" applyFont="1" applyBorder="1" applyAlignment="1">
      <alignment horizontal="right" vertical="center"/>
    </xf>
    <xf numFmtId="179" fontId="11" fillId="0" borderId="27" xfId="2" applyNumberFormat="1" applyFont="1" applyBorder="1" applyAlignment="1">
      <alignment vertical="center"/>
    </xf>
    <xf numFmtId="0" fontId="9" fillId="0" borderId="12" xfId="0" applyNumberFormat="1" applyFont="1" applyFill="1" applyBorder="1" applyAlignment="1">
      <alignment horizontal="left" vertical="center"/>
    </xf>
    <xf numFmtId="0" fontId="10" fillId="0" borderId="42" xfId="0" applyNumberFormat="1" applyFont="1" applyFill="1" applyBorder="1" applyAlignment="1">
      <alignment horizontal="center" vertical="center"/>
    </xf>
    <xf numFmtId="0" fontId="9" fillId="0" borderId="42" xfId="0" applyNumberFormat="1" applyFont="1" applyFill="1" applyBorder="1" applyAlignment="1">
      <alignment horizontal="center" vertical="center"/>
    </xf>
    <xf numFmtId="0" fontId="9" fillId="0" borderId="42" xfId="0" quotePrefix="1" applyNumberFormat="1" applyFont="1" applyFill="1" applyBorder="1" applyAlignment="1">
      <alignment horizontal="center" vertical="center"/>
    </xf>
    <xf numFmtId="41" fontId="9" fillId="0" borderId="42" xfId="4" applyNumberFormat="1" applyFont="1" applyFill="1" applyBorder="1">
      <alignment vertical="center"/>
    </xf>
    <xf numFmtId="0" fontId="9" fillId="0" borderId="22" xfId="0" applyNumberFormat="1" applyFont="1" applyFill="1" applyBorder="1">
      <alignment vertical="center"/>
    </xf>
    <xf numFmtId="0" fontId="11" fillId="0" borderId="5" xfId="0" applyNumberFormat="1" applyFont="1" applyBorder="1" applyAlignment="1">
      <alignment vertical="center"/>
    </xf>
    <xf numFmtId="0" fontId="9" fillId="0" borderId="57" xfId="0" applyNumberFormat="1" applyFont="1" applyFill="1" applyBorder="1" applyAlignment="1">
      <alignment horizontal="left" vertical="center"/>
    </xf>
    <xf numFmtId="41" fontId="9" fillId="0" borderId="18" xfId="0" applyNumberFormat="1" applyFont="1" applyFill="1" applyBorder="1">
      <alignment vertical="center"/>
    </xf>
    <xf numFmtId="0" fontId="11" fillId="0" borderId="27" xfId="0" applyNumberFormat="1" applyFont="1" applyFill="1" applyBorder="1" applyAlignment="1">
      <alignment horizontal="center" vertical="center"/>
    </xf>
    <xf numFmtId="0" fontId="11" fillId="0" borderId="27" xfId="0" applyNumberFormat="1" applyFont="1" applyBorder="1" applyAlignment="1">
      <alignment horizontal="center" vertical="center"/>
    </xf>
    <xf numFmtId="178" fontId="11" fillId="0" borderId="27" xfId="0" applyNumberFormat="1" applyFont="1" applyBorder="1" applyAlignment="1">
      <alignment horizontal="right" vertical="center"/>
    </xf>
    <xf numFmtId="179" fontId="11" fillId="0" borderId="27" xfId="0" applyNumberFormat="1" applyFont="1" applyBorder="1" applyAlignment="1">
      <alignment vertical="center"/>
    </xf>
    <xf numFmtId="0" fontId="9" fillId="0" borderId="12" xfId="0" applyNumberFormat="1" applyFont="1" applyFill="1" applyBorder="1" applyAlignment="1">
      <alignment horizontal="left" vertical="center" shrinkToFit="1"/>
    </xf>
    <xf numFmtId="0" fontId="11" fillId="0" borderId="13" xfId="0" applyNumberFormat="1" applyFont="1" applyBorder="1" applyAlignment="1">
      <alignment horizontal="center" vertical="center"/>
    </xf>
    <xf numFmtId="0" fontId="19" fillId="0" borderId="23" xfId="0" applyNumberFormat="1" applyFont="1" applyBorder="1" applyAlignment="1">
      <alignment horizontal="center" vertical="center"/>
    </xf>
    <xf numFmtId="0" fontId="9" fillId="0" borderId="57" xfId="0" applyNumberFormat="1" applyFont="1" applyBorder="1" applyAlignment="1">
      <alignment horizontal="left" vertical="center"/>
    </xf>
    <xf numFmtId="0" fontId="9" fillId="0" borderId="18" xfId="0" applyNumberFormat="1" applyFont="1" applyBorder="1" applyAlignment="1">
      <alignment horizontal="left" vertical="center"/>
    </xf>
    <xf numFmtId="0" fontId="11" fillId="0" borderId="44" xfId="0" applyNumberFormat="1" applyFont="1" applyBorder="1" applyAlignment="1">
      <alignment horizontal="center" vertical="center"/>
    </xf>
    <xf numFmtId="0" fontId="19" fillId="0" borderId="16" xfId="0" applyNumberFormat="1" applyFont="1" applyBorder="1" applyAlignment="1">
      <alignment horizontal="center" vertical="center"/>
    </xf>
    <xf numFmtId="0" fontId="19" fillId="0" borderId="15" xfId="0" applyNumberFormat="1" applyFont="1" applyBorder="1" applyAlignment="1">
      <alignment horizontal="center" vertical="center"/>
    </xf>
    <xf numFmtId="0" fontId="19" fillId="0" borderId="22" xfId="0" applyNumberFormat="1" applyFont="1" applyBorder="1" applyAlignment="1">
      <alignment horizontal="center" vertical="center"/>
    </xf>
    <xf numFmtId="179" fontId="19" fillId="0" borderId="29" xfId="2" applyNumberFormat="1" applyFont="1" applyBorder="1" applyAlignment="1">
      <alignment vertical="center"/>
    </xf>
    <xf numFmtId="0" fontId="8" fillId="0" borderId="39" xfId="0" applyNumberFormat="1" applyFont="1" applyBorder="1">
      <alignment vertical="center"/>
    </xf>
    <xf numFmtId="41" fontId="19" fillId="0" borderId="16" xfId="2" applyNumberFormat="1" applyFont="1" applyBorder="1" applyAlignment="1">
      <alignment horizontal="center" vertical="center"/>
    </xf>
    <xf numFmtId="0" fontId="19" fillId="0" borderId="3" xfId="0" applyNumberFormat="1" applyFont="1" applyBorder="1" applyAlignment="1">
      <alignment vertical="top" shrinkToFit="1"/>
    </xf>
    <xf numFmtId="0" fontId="11" fillId="0" borderId="25" xfId="0" applyNumberFormat="1" applyFont="1" applyFill="1" applyBorder="1" applyAlignment="1">
      <alignment horizontal="center" vertical="center" wrapText="1"/>
    </xf>
    <xf numFmtId="0" fontId="19" fillId="0" borderId="5" xfId="0" applyNumberFormat="1" applyFont="1" applyBorder="1" applyAlignment="1">
      <alignment vertical="top"/>
    </xf>
    <xf numFmtId="0" fontId="11" fillId="0" borderId="19" xfId="0" applyNumberFormat="1" applyFont="1" applyFill="1" applyBorder="1" applyAlignment="1">
      <alignment horizontal="center" vertical="center" wrapText="1"/>
    </xf>
    <xf numFmtId="0" fontId="19" fillId="0" borderId="4" xfId="0" applyNumberFormat="1" applyFont="1" applyBorder="1" applyAlignment="1">
      <alignment horizontal="center" vertical="center"/>
    </xf>
    <xf numFmtId="41" fontId="19" fillId="0" borderId="29" xfId="2" applyNumberFormat="1" applyFont="1" applyFill="1" applyBorder="1" applyAlignment="1">
      <alignment horizontal="center" vertical="center"/>
    </xf>
    <xf numFmtId="41" fontId="19" fillId="2" borderId="29" xfId="4" applyNumberFormat="1" applyFont="1" applyFill="1" applyBorder="1" applyAlignment="1">
      <alignment horizontal="center" vertical="center"/>
    </xf>
    <xf numFmtId="178" fontId="19" fillId="0" borderId="29" xfId="2" applyNumberFormat="1" applyFont="1" applyBorder="1" applyAlignment="1">
      <alignment horizontal="right" vertical="center"/>
    </xf>
    <xf numFmtId="0" fontId="9" fillId="0" borderId="13" xfId="0" applyNumberFormat="1" applyFont="1" applyFill="1" applyBorder="1" applyAlignment="1">
      <alignment horizontal="center" vertical="center"/>
    </xf>
    <xf numFmtId="41" fontId="11" fillId="0" borderId="29" xfId="2" applyNumberFormat="1" applyFont="1" applyBorder="1">
      <alignment vertical="center"/>
    </xf>
    <xf numFmtId="41" fontId="11" fillId="2" borderId="29" xfId="2" applyNumberFormat="1" applyFon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 shrinkToFit="1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19" xfId="0" applyNumberFormat="1" applyFont="1" applyFill="1" applyBorder="1" applyAlignment="1">
      <alignment horizontal="center" vertical="center"/>
    </xf>
    <xf numFmtId="41" fontId="11" fillId="0" borderId="49" xfId="2" applyNumberFormat="1" applyFont="1" applyBorder="1">
      <alignment vertical="center"/>
    </xf>
    <xf numFmtId="41" fontId="11" fillId="0" borderId="49" xfId="2" applyNumberFormat="1" applyFont="1" applyFill="1" applyBorder="1" applyAlignment="1">
      <alignment horizontal="center" vertical="center"/>
    </xf>
    <xf numFmtId="41" fontId="11" fillId="2" borderId="49" xfId="2" applyNumberFormat="1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center" vertical="center" shrinkToFit="1"/>
    </xf>
    <xf numFmtId="0" fontId="9" fillId="0" borderId="17" xfId="0" applyNumberFormat="1" applyFont="1" applyFill="1" applyBorder="1" applyAlignment="1">
      <alignment horizontal="center" vertical="center" wrapText="1"/>
    </xf>
    <xf numFmtId="41" fontId="11" fillId="2" borderId="37" xfId="2" applyNumberFormat="1" applyFont="1" applyFill="1" applyBorder="1" applyAlignment="1">
      <alignment horizontal="center" vertical="center"/>
    </xf>
    <xf numFmtId="0" fontId="9" fillId="0" borderId="25" xfId="0" applyNumberFormat="1" applyFont="1" applyFill="1" applyBorder="1" applyAlignment="1">
      <alignment horizontal="center" vertical="center" wrapText="1"/>
    </xf>
    <xf numFmtId="41" fontId="11" fillId="2" borderId="27" xfId="2" applyNumberFormat="1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center" vertical="center" shrinkToFit="1"/>
    </xf>
    <xf numFmtId="0" fontId="13" fillId="0" borderId="13" xfId="0" applyNumberFormat="1" applyFont="1" applyFill="1" applyBorder="1" applyAlignment="1">
      <alignment horizontal="center" vertical="center" wrapText="1"/>
    </xf>
    <xf numFmtId="0" fontId="13" fillId="0" borderId="19" xfId="0" applyNumberFormat="1" applyFont="1" applyFill="1" applyBorder="1" applyAlignment="1">
      <alignment horizontal="center" vertical="center" wrapText="1"/>
    </xf>
    <xf numFmtId="0" fontId="9" fillId="0" borderId="19" xfId="0" applyNumberFormat="1" applyFont="1" applyFill="1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/>
    </xf>
    <xf numFmtId="0" fontId="13" fillId="0" borderId="25" xfId="0" applyNumberFormat="1" applyFont="1" applyFill="1" applyBorder="1" applyAlignment="1">
      <alignment horizontal="center" vertical="center" shrinkToFit="1"/>
    </xf>
    <xf numFmtId="0" fontId="13" fillId="0" borderId="17" xfId="0" applyNumberFormat="1" applyFont="1" applyFill="1" applyBorder="1" applyAlignment="1">
      <alignment horizontal="center" vertical="center" wrapText="1"/>
    </xf>
    <xf numFmtId="0" fontId="19" fillId="0" borderId="42" xfId="0" applyNumberFormat="1" applyFont="1" applyBorder="1" applyAlignment="1">
      <alignment horizontal="center" vertical="center"/>
    </xf>
    <xf numFmtId="41" fontId="19" fillId="0" borderId="29" xfId="2" applyNumberFormat="1" applyFont="1" applyFill="1" applyBorder="1" applyAlignment="1">
      <alignment vertical="center" wrapText="1"/>
    </xf>
    <xf numFmtId="41" fontId="19" fillId="0" borderId="37" xfId="2" applyNumberFormat="1" applyFont="1" applyFill="1" applyBorder="1" applyAlignment="1">
      <alignment vertical="center" wrapText="1"/>
    </xf>
    <xf numFmtId="178" fontId="19" fillId="0" borderId="37" xfId="2" applyNumberFormat="1" applyFont="1" applyBorder="1" applyAlignment="1">
      <alignment horizontal="right" vertical="center" wrapText="1"/>
    </xf>
    <xf numFmtId="179" fontId="19" fillId="0" borderId="37" xfId="2" applyNumberFormat="1" applyFont="1" applyBorder="1" applyAlignment="1">
      <alignment vertical="center" wrapText="1"/>
    </xf>
    <xf numFmtId="0" fontId="19" fillId="0" borderId="3" xfId="0" applyNumberFormat="1" applyFont="1" applyBorder="1" applyAlignment="1">
      <alignment horizontal="center" vertical="top" wrapText="1"/>
    </xf>
    <xf numFmtId="41" fontId="11" fillId="0" borderId="37" xfId="2" applyNumberFormat="1" applyFont="1" applyFill="1" applyBorder="1" applyAlignment="1">
      <alignment horizontal="center" vertical="center" wrapText="1"/>
    </xf>
    <xf numFmtId="178" fontId="11" fillId="0" borderId="37" xfId="2" applyNumberFormat="1" applyFont="1" applyFill="1" applyBorder="1" applyAlignment="1">
      <alignment horizontal="right" vertical="center"/>
    </xf>
    <xf numFmtId="41" fontId="11" fillId="0" borderId="37" xfId="2" applyNumberFormat="1" applyFont="1" applyFill="1" applyBorder="1" applyAlignment="1">
      <alignment vertical="center"/>
    </xf>
    <xf numFmtId="0" fontId="19" fillId="0" borderId="5" xfId="0" applyNumberFormat="1" applyFont="1" applyBorder="1" applyAlignment="1">
      <alignment horizontal="center" vertical="top" wrapText="1"/>
    </xf>
    <xf numFmtId="41" fontId="11" fillId="0" borderId="27" xfId="2" applyNumberFormat="1" applyFont="1" applyFill="1" applyBorder="1" applyAlignment="1">
      <alignment horizontal="center" vertical="center" wrapText="1"/>
    </xf>
    <xf numFmtId="178" fontId="11" fillId="0" borderId="27" xfId="2" applyNumberFormat="1" applyFont="1" applyFill="1" applyBorder="1" applyAlignment="1">
      <alignment horizontal="right" vertical="center"/>
    </xf>
    <xf numFmtId="0" fontId="9" fillId="0" borderId="12" xfId="0" applyNumberFormat="1" applyFont="1" applyBorder="1" applyAlignment="1">
      <alignment vertical="center" wrapText="1"/>
    </xf>
    <xf numFmtId="41" fontId="11" fillId="0" borderId="27" xfId="2" applyNumberFormat="1" applyFont="1" applyFill="1" applyBorder="1" applyAlignment="1">
      <alignment vertical="center"/>
    </xf>
    <xf numFmtId="0" fontId="9" fillId="0" borderId="23" xfId="0" applyNumberFormat="1" applyFont="1" applyBorder="1" applyAlignment="1">
      <alignment vertical="center" wrapText="1"/>
    </xf>
    <xf numFmtId="41" fontId="11" fillId="0" borderId="49" xfId="2" applyNumberFormat="1" applyFont="1" applyFill="1" applyBorder="1" applyAlignment="1">
      <alignment horizontal="center" vertical="center" wrapText="1"/>
    </xf>
    <xf numFmtId="178" fontId="11" fillId="0" borderId="49" xfId="2" applyNumberFormat="1" applyFont="1" applyFill="1" applyBorder="1" applyAlignment="1">
      <alignment horizontal="right" vertical="center"/>
    </xf>
    <xf numFmtId="0" fontId="9" fillId="0" borderId="44" xfId="0" applyNumberFormat="1" applyFont="1" applyBorder="1" applyAlignment="1">
      <alignment vertical="center" wrapText="1"/>
    </xf>
    <xf numFmtId="41" fontId="9" fillId="0" borderId="41" xfId="2" applyNumberFormat="1" applyFont="1" applyBorder="1" applyAlignment="1">
      <alignment vertical="center" shrinkToFit="1"/>
    </xf>
    <xf numFmtId="41" fontId="11" fillId="0" borderId="39" xfId="2" applyNumberFormat="1" applyFont="1" applyFill="1" applyBorder="1" applyAlignment="1">
      <alignment vertical="center"/>
    </xf>
    <xf numFmtId="41" fontId="11" fillId="0" borderId="28" xfId="2" applyNumberFormat="1" applyFont="1" applyFill="1" applyBorder="1" applyAlignment="1">
      <alignment vertical="center"/>
    </xf>
    <xf numFmtId="41" fontId="11" fillId="0" borderId="11" xfId="2" applyNumberFormat="1" applyFont="1" applyBorder="1" applyAlignment="1">
      <alignment horizontal="center" vertical="center"/>
    </xf>
    <xf numFmtId="0" fontId="19" fillId="0" borderId="10" xfId="0" applyNumberFormat="1" applyFont="1" applyBorder="1" applyAlignment="1">
      <alignment horizontal="center" vertical="top" wrapText="1"/>
    </xf>
    <xf numFmtId="0" fontId="9" fillId="0" borderId="65" xfId="0" applyNumberFormat="1" applyFont="1" applyBorder="1" applyAlignment="1">
      <alignment horizontal="center" vertical="center" wrapText="1"/>
    </xf>
    <xf numFmtId="178" fontId="11" fillId="0" borderId="68" xfId="2" applyNumberFormat="1" applyFont="1" applyFill="1" applyBorder="1" applyAlignment="1">
      <alignment horizontal="right" vertical="center"/>
    </xf>
    <xf numFmtId="41" fontId="11" fillId="0" borderId="68" xfId="2" applyNumberFormat="1" applyFont="1" applyFill="1" applyBorder="1" applyAlignment="1">
      <alignment horizontal="center" vertical="center"/>
    </xf>
    <xf numFmtId="41" fontId="11" fillId="0" borderId="45" xfId="2" applyNumberFormat="1" applyFont="1" applyFill="1" applyBorder="1" applyAlignment="1">
      <alignment vertical="center"/>
    </xf>
    <xf numFmtId="178" fontId="11" fillId="0" borderId="68" xfId="2" applyNumberFormat="1" applyFont="1" applyBorder="1" applyAlignment="1">
      <alignment horizontal="right" vertical="center"/>
    </xf>
    <xf numFmtId="179" fontId="11" fillId="0" borderId="68" xfId="2" applyNumberFormat="1" applyFont="1" applyBorder="1" applyAlignment="1">
      <alignment vertical="center"/>
    </xf>
    <xf numFmtId="0" fontId="13" fillId="0" borderId="64" xfId="0" applyNumberFormat="1" applyFont="1" applyBorder="1" applyAlignment="1">
      <alignment horizontal="left" vertical="center" shrinkToFit="1"/>
    </xf>
    <xf numFmtId="41" fontId="9" fillId="0" borderId="14" xfId="2" applyNumberFormat="1" applyFont="1" applyBorder="1">
      <alignment vertical="center"/>
    </xf>
    <xf numFmtId="0" fontId="9" fillId="0" borderId="14" xfId="0" applyNumberFormat="1" applyFont="1" applyBorder="1">
      <alignment vertical="center"/>
    </xf>
    <xf numFmtId="0" fontId="10" fillId="0" borderId="14" xfId="0" applyNumberFormat="1" applyFont="1" applyBorder="1" applyAlignment="1">
      <alignment horizontal="center" vertical="center"/>
    </xf>
    <xf numFmtId="0" fontId="9" fillId="0" borderId="14" xfId="0" applyNumberFormat="1" applyFont="1" applyBorder="1" applyAlignment="1">
      <alignment horizontal="center" vertical="center"/>
    </xf>
    <xf numFmtId="0" fontId="9" fillId="0" borderId="14" xfId="0" quotePrefix="1" applyNumberFormat="1" applyFont="1" applyBorder="1" applyAlignment="1">
      <alignment horizontal="center" vertical="center"/>
    </xf>
    <xf numFmtId="41" fontId="9" fillId="0" borderId="14" xfId="0" applyNumberFormat="1" applyFont="1" applyBorder="1">
      <alignment vertical="center"/>
    </xf>
    <xf numFmtId="0" fontId="9" fillId="0" borderId="45" xfId="0" applyNumberFormat="1" applyFont="1" applyBorder="1">
      <alignment vertical="center"/>
    </xf>
    <xf numFmtId="41" fontId="11" fillId="0" borderId="0" xfId="2" applyNumberFormat="1" applyFont="1" applyBorder="1" applyAlignment="1">
      <alignment horizontal="center" vertical="center"/>
    </xf>
    <xf numFmtId="0" fontId="11" fillId="0" borderId="0" xfId="0" applyNumberFormat="1" applyFont="1" applyBorder="1" applyAlignment="1">
      <alignment horizontal="center" vertical="center"/>
    </xf>
    <xf numFmtId="41" fontId="11" fillId="0" borderId="0" xfId="2" applyNumberFormat="1" applyFont="1" applyFill="1" applyBorder="1" applyAlignment="1">
      <alignment horizontal="center" vertical="center"/>
    </xf>
    <xf numFmtId="178" fontId="11" fillId="0" borderId="0" xfId="2" applyNumberFormat="1" applyFont="1" applyBorder="1" applyAlignment="1">
      <alignment horizontal="right" vertical="center"/>
    </xf>
    <xf numFmtId="179" fontId="11" fillId="0" borderId="0" xfId="2" applyNumberFormat="1" applyFont="1" applyBorder="1" applyAlignment="1">
      <alignment vertical="center"/>
    </xf>
    <xf numFmtId="41" fontId="11" fillId="0" borderId="0" xfId="0" applyNumberFormat="1" applyFont="1" applyBorder="1" applyAlignment="1">
      <alignment horizontal="left" vertical="center"/>
    </xf>
    <xf numFmtId="43" fontId="9" fillId="0" borderId="0" xfId="0" applyNumberFormat="1" applyFont="1" applyBorder="1" applyAlignment="1">
      <alignment horizontal="left" vertical="center"/>
    </xf>
    <xf numFmtId="41" fontId="13" fillId="0" borderId="0" xfId="0" applyNumberFormat="1" applyFont="1" applyAlignment="1">
      <alignment horizontal="left" vertical="center"/>
    </xf>
    <xf numFmtId="0" fontId="25" fillId="0" borderId="0" xfId="0" applyNumberFormat="1" applyFont="1" applyBorder="1" applyAlignment="1">
      <alignment horizontal="center" vertical="center"/>
    </xf>
    <xf numFmtId="0" fontId="25" fillId="0" borderId="0" xfId="0" applyNumberFormat="1" applyFont="1" applyBorder="1" applyAlignment="1">
      <alignment horizontal="center" vertical="center"/>
    </xf>
    <xf numFmtId="0" fontId="12" fillId="0" borderId="14" xfId="0" applyNumberFormat="1" applyFont="1" applyBorder="1" applyAlignment="1">
      <alignment horizontal="left" vertical="center"/>
    </xf>
    <xf numFmtId="0" fontId="16" fillId="0" borderId="0" xfId="0" applyNumberFormat="1" applyFont="1" applyFill="1" applyBorder="1" applyAlignment="1">
      <alignment horizontal="center" vertical="center"/>
    </xf>
    <xf numFmtId="3" fontId="16" fillId="0" borderId="0" xfId="2" applyNumberFormat="1" applyFont="1" applyFill="1" applyBorder="1" applyAlignment="1">
      <alignment horizontal="right" vertical="center"/>
    </xf>
    <xf numFmtId="180" fontId="16" fillId="0" borderId="0" xfId="0" applyNumberFormat="1" applyFont="1" applyBorder="1" applyAlignment="1">
      <alignment horizontal="right" vertical="center"/>
    </xf>
    <xf numFmtId="0" fontId="17" fillId="0" borderId="8" xfId="0" applyNumberFormat="1" applyFont="1" applyBorder="1" applyAlignment="1">
      <alignment horizontal="center" vertical="center"/>
    </xf>
    <xf numFmtId="0" fontId="17" fillId="0" borderId="73" xfId="0" applyNumberFormat="1" applyFont="1" applyBorder="1" applyAlignment="1">
      <alignment horizontal="center" vertical="center"/>
    </xf>
    <xf numFmtId="41" fontId="17" fillId="0" borderId="8" xfId="2" applyNumberFormat="1" applyFont="1" applyBorder="1" applyAlignment="1">
      <alignment horizontal="center" vertical="center" wrapText="1"/>
    </xf>
    <xf numFmtId="41" fontId="17" fillId="0" borderId="74" xfId="4" applyNumberFormat="1" applyFont="1" applyFill="1" applyBorder="1" applyAlignment="1">
      <alignment horizontal="center" vertical="center" wrapText="1"/>
    </xf>
    <xf numFmtId="41" fontId="17" fillId="0" borderId="9" xfId="2" applyNumberFormat="1" applyFont="1" applyBorder="1" applyAlignment="1">
      <alignment horizontal="center" vertical="center"/>
    </xf>
    <xf numFmtId="0" fontId="17" fillId="0" borderId="74" xfId="0" applyNumberFormat="1" applyFont="1" applyBorder="1" applyAlignment="1">
      <alignment horizontal="center" vertical="center"/>
    </xf>
    <xf numFmtId="0" fontId="17" fillId="0" borderId="10" xfId="0" applyNumberFormat="1" applyFont="1" applyBorder="1" applyAlignment="1">
      <alignment horizontal="center" vertical="center"/>
    </xf>
    <xf numFmtId="0" fontId="17" fillId="0" borderId="66" xfId="0" applyNumberFormat="1" applyFont="1" applyBorder="1" applyAlignment="1">
      <alignment horizontal="center" vertical="center"/>
    </xf>
    <xf numFmtId="41" fontId="17" fillId="0" borderId="10" xfId="2" applyNumberFormat="1" applyFont="1" applyBorder="1" applyAlignment="1">
      <alignment horizontal="center" vertical="center" wrapText="1"/>
    </xf>
    <xf numFmtId="41" fontId="17" fillId="0" borderId="72" xfId="4" applyNumberFormat="1" applyFont="1" applyFill="1" applyBorder="1" applyAlignment="1">
      <alignment horizontal="center" vertical="center" wrapText="1"/>
    </xf>
    <xf numFmtId="3" fontId="17" fillId="0" borderId="6" xfId="2" applyNumberFormat="1" applyFont="1" applyFill="1" applyBorder="1" applyAlignment="1">
      <alignment horizontal="center" vertical="center"/>
    </xf>
    <xf numFmtId="180" fontId="17" fillId="0" borderId="6" xfId="2" applyNumberFormat="1" applyFont="1" applyBorder="1" applyAlignment="1">
      <alignment horizontal="center" vertical="center"/>
    </xf>
    <xf numFmtId="0" fontId="17" fillId="0" borderId="72" xfId="0" applyNumberFormat="1" applyFont="1" applyBorder="1" applyAlignment="1">
      <alignment horizontal="center" vertical="center"/>
    </xf>
    <xf numFmtId="41" fontId="17" fillId="0" borderId="32" xfId="2" applyNumberFormat="1" applyFont="1" applyBorder="1" applyAlignment="1">
      <alignment horizontal="center" vertical="center"/>
    </xf>
    <xf numFmtId="41" fontId="17" fillId="0" borderId="31" xfId="2" applyNumberFormat="1" applyFont="1" applyBorder="1" applyAlignment="1">
      <alignment horizontal="center" vertical="center"/>
    </xf>
    <xf numFmtId="41" fontId="17" fillId="0" borderId="31" xfId="4" applyNumberFormat="1" applyFont="1" applyFill="1" applyBorder="1" applyAlignment="1">
      <alignment horizontal="center" vertical="center"/>
    </xf>
    <xf numFmtId="3" fontId="17" fillId="0" borderId="32" xfId="2" applyNumberFormat="1" applyFont="1" applyFill="1" applyBorder="1" applyAlignment="1">
      <alignment horizontal="right" vertical="center"/>
    </xf>
    <xf numFmtId="180" fontId="17" fillId="0" borderId="32" xfId="2" applyNumberFormat="1" applyFont="1" applyBorder="1" applyAlignment="1">
      <alignment horizontal="right" vertical="center"/>
    </xf>
    <xf numFmtId="41" fontId="8" fillId="0" borderId="33" xfId="0" applyNumberFormat="1" applyFont="1" applyBorder="1">
      <alignment vertical="center"/>
    </xf>
    <xf numFmtId="0" fontId="8" fillId="0" borderId="34" xfId="0" applyNumberFormat="1" applyFont="1" applyBorder="1">
      <alignment vertical="center"/>
    </xf>
    <xf numFmtId="41" fontId="19" fillId="0" borderId="5" xfId="2" applyNumberFormat="1" applyFont="1" applyBorder="1" applyAlignment="1">
      <alignment horizontal="center" vertical="center"/>
    </xf>
    <xf numFmtId="41" fontId="19" fillId="0" borderId="35" xfId="2" applyNumberFormat="1" applyFont="1" applyFill="1" applyBorder="1" applyAlignment="1">
      <alignment horizontal="center" vertical="center"/>
    </xf>
    <xf numFmtId="41" fontId="19" fillId="0" borderId="35" xfId="4" applyNumberFormat="1" applyFont="1" applyFill="1" applyBorder="1" applyAlignment="1">
      <alignment horizontal="center" vertical="center"/>
    </xf>
    <xf numFmtId="3" fontId="19" fillId="0" borderId="21" xfId="2" applyNumberFormat="1" applyFont="1" applyFill="1" applyBorder="1" applyAlignment="1">
      <alignment horizontal="right" vertical="center"/>
    </xf>
    <xf numFmtId="180" fontId="19" fillId="0" borderId="21" xfId="2" applyNumberFormat="1" applyFont="1" applyBorder="1" applyAlignment="1">
      <alignment horizontal="right" vertical="center"/>
    </xf>
    <xf numFmtId="0" fontId="13" fillId="0" borderId="0" xfId="0" applyNumberFormat="1" applyFont="1" applyBorder="1">
      <alignment vertical="center"/>
    </xf>
    <xf numFmtId="0" fontId="13" fillId="0" borderId="0" xfId="0" applyNumberFormat="1" applyFont="1" applyBorder="1" applyAlignment="1">
      <alignment horizontal="center" vertical="center"/>
    </xf>
    <xf numFmtId="41" fontId="8" fillId="0" borderId="0" xfId="0" applyNumberFormat="1" applyFont="1" applyBorder="1">
      <alignment vertical="center"/>
    </xf>
    <xf numFmtId="41" fontId="11" fillId="0" borderId="3" xfId="2" applyNumberFormat="1" applyFont="1" applyBorder="1" applyAlignment="1">
      <alignment horizontal="center" vertical="center"/>
    </xf>
    <xf numFmtId="41" fontId="11" fillId="0" borderId="38" xfId="2" applyNumberFormat="1" applyFont="1" applyFill="1" applyBorder="1" applyAlignment="1">
      <alignment horizontal="center" vertical="center"/>
    </xf>
    <xf numFmtId="41" fontId="14" fillId="0" borderId="38" xfId="4" applyNumberFormat="1" applyFont="1" applyFill="1" applyBorder="1" applyAlignment="1">
      <alignment horizontal="center" vertical="center"/>
    </xf>
    <xf numFmtId="3" fontId="11" fillId="0" borderId="4" xfId="2" applyNumberFormat="1" applyFont="1" applyFill="1" applyBorder="1" applyAlignment="1">
      <alignment horizontal="right" vertical="center"/>
    </xf>
    <xf numFmtId="180" fontId="11" fillId="0" borderId="4" xfId="2" applyNumberFormat="1" applyFont="1" applyBorder="1" applyAlignment="1">
      <alignment horizontal="right" vertical="center"/>
    </xf>
    <xf numFmtId="0" fontId="13" fillId="0" borderId="18" xfId="0" applyNumberFormat="1" applyFont="1" applyBorder="1">
      <alignment vertical="center"/>
    </xf>
    <xf numFmtId="0" fontId="13" fillId="0" borderId="18" xfId="0" applyNumberFormat="1" applyFont="1" applyBorder="1" applyAlignment="1">
      <alignment horizontal="center" vertical="center"/>
    </xf>
    <xf numFmtId="41" fontId="11" fillId="0" borderId="3" xfId="2" applyNumberFormat="1" applyFont="1" applyBorder="1" applyAlignment="1">
      <alignment horizontal="center" vertical="center"/>
    </xf>
    <xf numFmtId="41" fontId="11" fillId="0" borderId="38" xfId="2" applyNumberFormat="1" applyFont="1" applyFill="1" applyBorder="1" applyAlignment="1">
      <alignment horizontal="center" vertical="center"/>
    </xf>
    <xf numFmtId="41" fontId="11" fillId="0" borderId="38" xfId="4" applyNumberFormat="1" applyFont="1" applyFill="1" applyBorder="1" applyAlignment="1">
      <alignment horizontal="center" vertical="center"/>
    </xf>
    <xf numFmtId="178" fontId="11" fillId="0" borderId="3" xfId="2" applyNumberFormat="1" applyFont="1" applyFill="1" applyBorder="1" applyAlignment="1">
      <alignment horizontal="right" vertical="center"/>
    </xf>
    <xf numFmtId="179" fontId="11" fillId="0" borderId="3" xfId="0" applyNumberFormat="1" applyFont="1" applyBorder="1" applyAlignment="1">
      <alignment horizontal="right" vertical="center"/>
    </xf>
    <xf numFmtId="41" fontId="11" fillId="0" borderId="5" xfId="2" applyNumberFormat="1" applyFont="1" applyBorder="1" applyAlignment="1">
      <alignment horizontal="center" vertical="center"/>
    </xf>
    <xf numFmtId="41" fontId="11" fillId="0" borderId="35" xfId="2" applyNumberFormat="1" applyFont="1" applyFill="1" applyBorder="1" applyAlignment="1">
      <alignment horizontal="center" vertical="center"/>
    </xf>
    <xf numFmtId="41" fontId="11" fillId="0" borderId="35" xfId="4" applyNumberFormat="1" applyFont="1" applyFill="1" applyBorder="1" applyAlignment="1">
      <alignment horizontal="center" vertical="center"/>
    </xf>
    <xf numFmtId="178" fontId="11" fillId="0" borderId="5" xfId="2" applyNumberFormat="1" applyFont="1" applyFill="1" applyBorder="1" applyAlignment="1">
      <alignment horizontal="right" vertical="center"/>
    </xf>
    <xf numFmtId="179" fontId="11" fillId="0" borderId="5" xfId="0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vertical="center"/>
    </xf>
    <xf numFmtId="41" fontId="11" fillId="0" borderId="40" xfId="4" applyNumberFormat="1" applyFont="1" applyFill="1" applyBorder="1" applyAlignment="1">
      <alignment horizontal="center" vertical="center"/>
    </xf>
    <xf numFmtId="41" fontId="11" fillId="0" borderId="7" xfId="2" applyNumberFormat="1" applyFont="1" applyBorder="1" applyAlignment="1">
      <alignment horizontal="center" vertical="center"/>
    </xf>
    <xf numFmtId="41" fontId="11" fillId="0" borderId="40" xfId="2" applyNumberFormat="1" applyFont="1" applyFill="1" applyBorder="1" applyAlignment="1">
      <alignment horizontal="center" vertical="center"/>
    </xf>
    <xf numFmtId="178" fontId="11" fillId="0" borderId="7" xfId="2" applyNumberFormat="1" applyFont="1" applyFill="1" applyBorder="1" applyAlignment="1">
      <alignment horizontal="right" vertical="center"/>
    </xf>
    <xf numFmtId="179" fontId="11" fillId="0" borderId="7" xfId="0" applyNumberFormat="1" applyFont="1" applyBorder="1" applyAlignment="1">
      <alignment horizontal="right" vertical="center"/>
    </xf>
    <xf numFmtId="41" fontId="11" fillId="0" borderId="3" xfId="4" applyNumberFormat="1" applyFont="1" applyFill="1" applyBorder="1" applyAlignment="1">
      <alignment horizontal="center" vertical="center"/>
    </xf>
    <xf numFmtId="3" fontId="11" fillId="0" borderId="3" xfId="2" applyNumberFormat="1" applyFont="1" applyFill="1" applyBorder="1" applyAlignment="1">
      <alignment horizontal="right" vertical="center"/>
    </xf>
    <xf numFmtId="180" fontId="11" fillId="0" borderId="3" xfId="2" applyNumberFormat="1" applyFont="1" applyBorder="1" applyAlignment="1">
      <alignment horizontal="right" vertical="center"/>
    </xf>
    <xf numFmtId="0" fontId="11" fillId="0" borderId="23" xfId="0" applyNumberFormat="1" applyFont="1" applyBorder="1" applyAlignment="1">
      <alignment horizontal="center" vertical="center" wrapText="1"/>
    </xf>
    <xf numFmtId="41" fontId="11" fillId="0" borderId="5" xfId="4" applyNumberFormat="1" applyFont="1" applyFill="1" applyBorder="1" applyAlignment="1">
      <alignment horizontal="center" vertical="center"/>
    </xf>
    <xf numFmtId="3" fontId="11" fillId="0" borderId="5" xfId="2" applyNumberFormat="1" applyFont="1" applyFill="1" applyBorder="1" applyAlignment="1">
      <alignment horizontal="right" vertical="center"/>
    </xf>
    <xf numFmtId="180" fontId="11" fillId="0" borderId="5" xfId="2" applyNumberFormat="1" applyFont="1" applyBorder="1" applyAlignment="1">
      <alignment horizontal="right" vertical="center"/>
    </xf>
    <xf numFmtId="41" fontId="19" fillId="0" borderId="4" xfId="2" applyNumberFormat="1" applyFont="1" applyBorder="1" applyAlignment="1">
      <alignment horizontal="center" vertical="center"/>
    </xf>
    <xf numFmtId="41" fontId="19" fillId="0" borderId="43" xfId="2" applyNumberFormat="1" applyFont="1" applyFill="1" applyBorder="1" applyAlignment="1">
      <alignment horizontal="center" vertical="center"/>
    </xf>
    <xf numFmtId="41" fontId="19" fillId="0" borderId="4" xfId="4" applyNumberFormat="1" applyFont="1" applyFill="1" applyBorder="1" applyAlignment="1">
      <alignment horizontal="center" vertical="center"/>
    </xf>
    <xf numFmtId="3" fontId="19" fillId="0" borderId="4" xfId="2" applyNumberFormat="1" applyFont="1" applyFill="1" applyBorder="1" applyAlignment="1">
      <alignment horizontal="right" vertical="center"/>
    </xf>
    <xf numFmtId="180" fontId="19" fillId="0" borderId="4" xfId="2" applyNumberFormat="1" applyFont="1" applyBorder="1" applyAlignment="1">
      <alignment horizontal="right" vertical="center"/>
    </xf>
    <xf numFmtId="41" fontId="8" fillId="0" borderId="42" xfId="0" applyNumberFormat="1" applyFont="1" applyBorder="1">
      <alignment vertical="center"/>
    </xf>
    <xf numFmtId="41" fontId="11" fillId="0" borderId="5" xfId="2" applyNumberFormat="1" applyFont="1" applyBorder="1" applyAlignment="1">
      <alignment horizontal="center" vertical="center"/>
    </xf>
    <xf numFmtId="41" fontId="11" fillId="0" borderId="40" xfId="2" applyNumberFormat="1" applyFont="1" applyBorder="1" applyAlignment="1">
      <alignment horizontal="center" vertical="center"/>
    </xf>
    <xf numFmtId="41" fontId="14" fillId="0" borderId="7" xfId="4" applyNumberFormat="1" applyFont="1" applyFill="1" applyBorder="1" applyAlignment="1">
      <alignment horizontal="center" vertical="center"/>
    </xf>
    <xf numFmtId="3" fontId="11" fillId="0" borderId="7" xfId="2" applyNumberFormat="1" applyFont="1" applyFill="1" applyBorder="1" applyAlignment="1">
      <alignment horizontal="right" vertical="center"/>
    </xf>
    <xf numFmtId="0" fontId="8" fillId="0" borderId="36" xfId="0" applyNumberFormat="1" applyFont="1" applyBorder="1" applyAlignment="1">
      <alignment horizontal="center" vertical="center"/>
    </xf>
    <xf numFmtId="0" fontId="8" fillId="0" borderId="18" xfId="0" applyNumberFormat="1" applyFont="1" applyBorder="1" applyAlignment="1">
      <alignment horizontal="center" vertical="center"/>
    </xf>
    <xf numFmtId="41" fontId="9" fillId="0" borderId="18" xfId="0" applyNumberFormat="1" applyFont="1" applyBorder="1" applyAlignment="1">
      <alignment horizontal="center" vertical="center"/>
    </xf>
    <xf numFmtId="41" fontId="9" fillId="0" borderId="18" xfId="0" applyNumberFormat="1" applyFont="1" applyBorder="1" applyAlignment="1">
      <alignment vertical="center"/>
    </xf>
    <xf numFmtId="41" fontId="11" fillId="0" borderId="5" xfId="2" applyNumberFormat="1" applyFont="1" applyBorder="1" applyAlignment="1">
      <alignment vertical="center"/>
    </xf>
    <xf numFmtId="41" fontId="11" fillId="0" borderId="35" xfId="2" applyNumberFormat="1" applyFont="1" applyFill="1" applyBorder="1" applyAlignment="1">
      <alignment vertical="center"/>
    </xf>
    <xf numFmtId="3" fontId="11" fillId="0" borderId="5" xfId="2" applyNumberFormat="1" applyFont="1" applyFill="1" applyBorder="1" applyAlignment="1">
      <alignment vertical="center"/>
    </xf>
    <xf numFmtId="180" fontId="11" fillId="0" borderId="5" xfId="2" applyNumberFormat="1" applyFont="1" applyBorder="1" applyAlignment="1">
      <alignment vertical="center"/>
    </xf>
    <xf numFmtId="0" fontId="11" fillId="0" borderId="23" xfId="0" applyNumberFormat="1" applyFont="1" applyBorder="1" applyAlignment="1">
      <alignment vertical="center"/>
    </xf>
    <xf numFmtId="0" fontId="11" fillId="0" borderId="44" xfId="0" applyNumberFormat="1" applyFont="1" applyBorder="1" applyAlignment="1">
      <alignment vertical="center"/>
    </xf>
    <xf numFmtId="41" fontId="11" fillId="0" borderId="7" xfId="2" applyNumberFormat="1" applyFont="1" applyBorder="1" applyAlignment="1">
      <alignment vertical="center"/>
    </xf>
    <xf numFmtId="41" fontId="11" fillId="0" borderId="40" xfId="2" applyNumberFormat="1" applyFont="1" applyFill="1" applyBorder="1" applyAlignment="1">
      <alignment vertical="center"/>
    </xf>
    <xf numFmtId="41" fontId="11" fillId="0" borderId="7" xfId="4" applyNumberFormat="1" applyFont="1" applyFill="1" applyBorder="1" applyAlignment="1">
      <alignment horizontal="center" vertical="center"/>
    </xf>
    <xf numFmtId="3" fontId="11" fillId="0" borderId="7" xfId="2" applyNumberFormat="1" applyFont="1" applyFill="1" applyBorder="1" applyAlignment="1">
      <alignment vertical="center"/>
    </xf>
    <xf numFmtId="180" fontId="11" fillId="0" borderId="7" xfId="2" applyNumberFormat="1" applyFont="1" applyBorder="1" applyAlignment="1">
      <alignment vertical="center"/>
    </xf>
    <xf numFmtId="41" fontId="19" fillId="0" borderId="43" xfId="4" applyNumberFormat="1" applyFont="1" applyFill="1" applyBorder="1" applyAlignment="1">
      <alignment horizontal="center" vertical="center"/>
    </xf>
    <xf numFmtId="0" fontId="18" fillId="0" borderId="42" xfId="0" applyNumberFormat="1" applyFont="1" applyBorder="1">
      <alignment vertical="center"/>
    </xf>
    <xf numFmtId="0" fontId="18" fillId="0" borderId="42" xfId="0" applyNumberFormat="1" applyFont="1" applyBorder="1" applyAlignment="1">
      <alignment horizontal="center" vertical="center"/>
    </xf>
    <xf numFmtId="41" fontId="18" fillId="0" borderId="42" xfId="0" applyNumberFormat="1" applyFont="1" applyBorder="1">
      <alignment vertical="center"/>
    </xf>
    <xf numFmtId="0" fontId="18" fillId="0" borderId="22" xfId="0" applyNumberFormat="1" applyFont="1" applyBorder="1">
      <alignment vertical="center"/>
    </xf>
    <xf numFmtId="0" fontId="8" fillId="0" borderId="0" xfId="0" applyNumberFormat="1" applyFont="1">
      <alignment vertical="center"/>
    </xf>
    <xf numFmtId="41" fontId="8" fillId="0" borderId="0" xfId="2" applyNumberFormat="1" applyFont="1">
      <alignment vertical="center"/>
    </xf>
    <xf numFmtId="0" fontId="19" fillId="0" borderId="5" xfId="0" applyNumberFormat="1" applyFont="1" applyBorder="1" applyAlignment="1">
      <alignment horizontal="center" vertical="center" shrinkToFit="1"/>
    </xf>
    <xf numFmtId="0" fontId="14" fillId="0" borderId="15" xfId="0" applyNumberFormat="1" applyFont="1" applyBorder="1" applyAlignment="1">
      <alignment horizontal="center" vertical="center"/>
    </xf>
    <xf numFmtId="41" fontId="11" fillId="0" borderId="4" xfId="2" applyNumberFormat="1" applyFont="1" applyBorder="1" applyAlignment="1">
      <alignment horizontal="center" vertical="center"/>
    </xf>
    <xf numFmtId="41" fontId="11" fillId="0" borderId="43" xfId="2" applyNumberFormat="1" applyFont="1" applyFill="1" applyBorder="1" applyAlignment="1">
      <alignment horizontal="center" vertical="center"/>
    </xf>
    <xf numFmtId="41" fontId="14" fillId="0" borderId="43" xfId="4" applyNumberFormat="1" applyFont="1" applyFill="1" applyBorder="1" applyAlignment="1">
      <alignment horizontal="center" vertical="center"/>
    </xf>
    <xf numFmtId="0" fontId="13" fillId="0" borderId="15" xfId="0" applyNumberFormat="1" applyFont="1" applyBorder="1">
      <alignment vertical="center"/>
    </xf>
    <xf numFmtId="0" fontId="13" fillId="0" borderId="42" xfId="0" applyNumberFormat="1" applyFont="1" applyBorder="1">
      <alignment vertical="center"/>
    </xf>
    <xf numFmtId="0" fontId="13" fillId="0" borderId="42" xfId="0" applyNumberFormat="1" applyFont="1" applyBorder="1" applyAlignment="1">
      <alignment horizontal="center" vertical="center"/>
    </xf>
    <xf numFmtId="41" fontId="13" fillId="0" borderId="42" xfId="0" applyNumberFormat="1" applyFont="1" applyBorder="1">
      <alignment vertical="center"/>
    </xf>
    <xf numFmtId="0" fontId="13" fillId="0" borderId="22" xfId="0" applyNumberFormat="1" applyFont="1" applyBorder="1">
      <alignment vertical="center"/>
    </xf>
    <xf numFmtId="41" fontId="11" fillId="0" borderId="35" xfId="2" applyNumberFormat="1" applyFont="1" applyFill="1" applyBorder="1" applyAlignment="1">
      <alignment horizontal="center" vertical="center"/>
    </xf>
    <xf numFmtId="0" fontId="19" fillId="0" borderId="16" xfId="0" applyNumberFormat="1" applyFont="1" applyBorder="1" applyAlignment="1">
      <alignment horizontal="center" vertical="center" shrinkToFit="1"/>
    </xf>
    <xf numFmtId="0" fontId="8" fillId="0" borderId="42" xfId="0" applyNumberFormat="1" applyFont="1" applyBorder="1">
      <alignment vertical="center"/>
    </xf>
    <xf numFmtId="0" fontId="8" fillId="0" borderId="42" xfId="0" applyNumberFormat="1" applyFont="1" applyBorder="1" applyAlignment="1">
      <alignment horizontal="center" vertical="center"/>
    </xf>
    <xf numFmtId="0" fontId="9" fillId="0" borderId="15" xfId="0" applyNumberFormat="1" applyFont="1" applyBorder="1">
      <alignment vertical="center"/>
    </xf>
    <xf numFmtId="179" fontId="11" fillId="0" borderId="3" xfId="2" applyNumberFormat="1" applyFont="1" applyBorder="1" applyAlignment="1">
      <alignment horizontal="right" vertical="center"/>
    </xf>
    <xf numFmtId="0" fontId="9" fillId="0" borderId="23" xfId="0" applyNumberFormat="1" applyFont="1" applyBorder="1">
      <alignment vertical="center"/>
    </xf>
    <xf numFmtId="179" fontId="11" fillId="0" borderId="5" xfId="2" applyNumberFormat="1" applyFont="1" applyBorder="1" applyAlignment="1">
      <alignment horizontal="right" vertical="center"/>
    </xf>
    <xf numFmtId="41" fontId="11" fillId="0" borderId="5" xfId="4" applyNumberFormat="1" applyFont="1" applyFill="1" applyBorder="1" applyAlignment="1">
      <alignment horizontal="center" vertical="center"/>
    </xf>
    <xf numFmtId="179" fontId="11" fillId="0" borderId="7" xfId="2" applyNumberFormat="1" applyFont="1" applyBorder="1" applyAlignment="1">
      <alignment horizontal="right" vertical="center"/>
    </xf>
    <xf numFmtId="0" fontId="9" fillId="0" borderId="42" xfId="0" applyNumberFormat="1" applyFont="1" applyFill="1" applyBorder="1">
      <alignment vertical="center"/>
    </xf>
    <xf numFmtId="0" fontId="9" fillId="0" borderId="42" xfId="0" applyNumberFormat="1" applyFont="1" applyFill="1" applyBorder="1" applyAlignment="1">
      <alignment vertical="center"/>
    </xf>
    <xf numFmtId="41" fontId="8" fillId="0" borderId="42" xfId="0" applyNumberFormat="1" applyFont="1" applyFill="1" applyBorder="1">
      <alignment vertical="center"/>
    </xf>
    <xf numFmtId="0" fontId="8" fillId="0" borderId="22" xfId="0" applyNumberFormat="1" applyFont="1" applyFill="1" applyBorder="1">
      <alignment vertical="center"/>
    </xf>
    <xf numFmtId="0" fontId="9" fillId="0" borderId="0" xfId="0" applyNumberFormat="1" applyFont="1" applyFill="1" applyBorder="1" applyAlignment="1">
      <alignment vertical="center"/>
    </xf>
    <xf numFmtId="41" fontId="9" fillId="0" borderId="0" xfId="0" applyNumberFormat="1" applyFont="1" applyFill="1" applyBorder="1">
      <alignment vertical="center"/>
    </xf>
    <xf numFmtId="41" fontId="9" fillId="0" borderId="18" xfId="2" applyNumberFormat="1" applyFont="1" applyFill="1" applyBorder="1">
      <alignment vertical="center"/>
    </xf>
    <xf numFmtId="0" fontId="9" fillId="0" borderId="18" xfId="0" applyNumberFormat="1" applyFont="1" applyFill="1" applyBorder="1" applyAlignment="1">
      <alignment vertical="center"/>
    </xf>
    <xf numFmtId="0" fontId="9" fillId="0" borderId="18" xfId="0" applyNumberFormat="1" applyFont="1" applyFill="1" applyBorder="1" applyAlignment="1">
      <alignment horizontal="center" vertical="center"/>
    </xf>
    <xf numFmtId="0" fontId="9" fillId="0" borderId="23" xfId="0" applyNumberFormat="1" applyFont="1" applyFill="1" applyBorder="1" applyAlignment="1">
      <alignment horizontal="left" vertical="center"/>
    </xf>
    <xf numFmtId="41" fontId="9" fillId="0" borderId="0" xfId="4" applyNumberFormat="1" applyFont="1" applyFill="1" applyBorder="1" applyAlignment="1">
      <alignment horizontal="center" vertical="center"/>
    </xf>
    <xf numFmtId="0" fontId="8" fillId="0" borderId="36" xfId="0" applyNumberFormat="1" applyFont="1" applyBorder="1" applyAlignment="1">
      <alignment horizontal="left" vertical="center"/>
    </xf>
    <xf numFmtId="0" fontId="9" fillId="3" borderId="23" xfId="0" applyNumberFormat="1" applyFont="1" applyFill="1" applyBorder="1" applyAlignment="1">
      <alignment horizontal="left" vertical="center"/>
    </xf>
    <xf numFmtId="41" fontId="9" fillId="3" borderId="0" xfId="4" applyNumberFormat="1" applyFont="1" applyFill="1" applyBorder="1">
      <alignment vertical="center"/>
    </xf>
    <xf numFmtId="0" fontId="9" fillId="3" borderId="0" xfId="0" applyNumberFormat="1" applyFont="1" applyFill="1" applyBorder="1" applyAlignment="1">
      <alignment horizontal="center" vertical="center"/>
    </xf>
    <xf numFmtId="0" fontId="10" fillId="3" borderId="0" xfId="0" applyNumberFormat="1" applyFont="1" applyFill="1" applyBorder="1" applyAlignment="1">
      <alignment horizontal="center" vertical="center"/>
    </xf>
    <xf numFmtId="0" fontId="9" fillId="3" borderId="0" xfId="0" quotePrefix="1" applyNumberFormat="1" applyFont="1" applyFill="1" applyBorder="1" applyAlignment="1">
      <alignment horizontal="center" vertical="center"/>
    </xf>
    <xf numFmtId="0" fontId="9" fillId="3" borderId="28" xfId="0" applyNumberFormat="1" applyFont="1" applyFill="1" applyBorder="1">
      <alignment vertical="center"/>
    </xf>
    <xf numFmtId="41" fontId="9" fillId="0" borderId="0" xfId="2" applyNumberFormat="1" applyFont="1" applyFill="1">
      <alignment vertical="center"/>
    </xf>
    <xf numFmtId="41" fontId="9" fillId="0" borderId="0" xfId="4" applyNumberFormat="1" applyFont="1" applyFill="1">
      <alignment vertical="center"/>
    </xf>
    <xf numFmtId="0" fontId="9" fillId="0" borderId="0" xfId="0" applyNumberFormat="1" applyFont="1" applyFill="1">
      <alignment vertical="center"/>
    </xf>
    <xf numFmtId="41" fontId="11" fillId="0" borderId="7" xfId="4" applyNumberFormat="1" applyFont="1" applyFill="1" applyBorder="1" applyAlignment="1">
      <alignment horizontal="center" vertical="center"/>
    </xf>
    <xf numFmtId="3" fontId="11" fillId="0" borderId="7" xfId="2" applyNumberFormat="1" applyFont="1" applyFill="1" applyBorder="1" applyAlignment="1">
      <alignment horizontal="right" vertical="center"/>
    </xf>
    <xf numFmtId="180" fontId="11" fillId="0" borderId="7" xfId="2" applyNumberFormat="1" applyFont="1" applyBorder="1" applyAlignment="1">
      <alignment horizontal="right" vertical="center"/>
    </xf>
    <xf numFmtId="0" fontId="9" fillId="0" borderId="44" xfId="0" applyNumberFormat="1" applyFont="1" applyFill="1" applyBorder="1" applyAlignment="1">
      <alignment horizontal="left" vertical="center"/>
    </xf>
    <xf numFmtId="0" fontId="9" fillId="0" borderId="12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Alignment="1">
      <alignment horizontal="left" vertical="center"/>
    </xf>
    <xf numFmtId="0" fontId="9" fillId="0" borderId="0" xfId="0" applyNumberFormat="1" applyFont="1" applyFill="1" applyAlignment="1">
      <alignment horizontal="left" vertical="center"/>
    </xf>
    <xf numFmtId="178" fontId="11" fillId="0" borderId="38" xfId="2" applyNumberFormat="1" applyFont="1" applyFill="1" applyBorder="1" applyAlignment="1">
      <alignment horizontal="right" vertical="center"/>
    </xf>
    <xf numFmtId="41" fontId="11" fillId="0" borderId="3" xfId="4" applyNumberFormat="1" applyFont="1" applyFill="1" applyBorder="1" applyAlignment="1">
      <alignment horizontal="center" vertical="center"/>
    </xf>
    <xf numFmtId="0" fontId="8" fillId="0" borderId="36" xfId="0" applyNumberFormat="1" applyFont="1" applyFill="1" applyBorder="1" applyAlignment="1">
      <alignment horizontal="left" vertical="center"/>
    </xf>
    <xf numFmtId="178" fontId="11" fillId="0" borderId="35" xfId="2" applyNumberFormat="1" applyFont="1" applyFill="1" applyBorder="1" applyAlignment="1">
      <alignment horizontal="right" vertical="center"/>
    </xf>
    <xf numFmtId="0" fontId="11" fillId="0" borderId="10" xfId="0" applyNumberFormat="1" applyFont="1" applyBorder="1" applyAlignment="1">
      <alignment horizontal="center" vertical="center"/>
    </xf>
    <xf numFmtId="0" fontId="11" fillId="0" borderId="66" xfId="0" applyNumberFormat="1" applyFont="1" applyBorder="1" applyAlignment="1">
      <alignment horizontal="center" vertical="center"/>
    </xf>
    <xf numFmtId="41" fontId="11" fillId="0" borderId="10" xfId="2" applyNumberFormat="1" applyFont="1" applyBorder="1" applyAlignment="1">
      <alignment horizontal="center" vertical="center"/>
    </xf>
    <xf numFmtId="178" fontId="11" fillId="0" borderId="72" xfId="2" applyNumberFormat="1" applyFont="1" applyFill="1" applyBorder="1" applyAlignment="1">
      <alignment horizontal="right" vertical="center"/>
    </xf>
    <xf numFmtId="41" fontId="11" fillId="0" borderId="10" xfId="4" applyNumberFormat="1" applyFont="1" applyFill="1" applyBorder="1" applyAlignment="1">
      <alignment horizontal="center" vertical="center"/>
    </xf>
    <xf numFmtId="3" fontId="11" fillId="0" borderId="10" xfId="2" applyNumberFormat="1" applyFont="1" applyFill="1" applyBorder="1" applyAlignment="1">
      <alignment horizontal="right" vertical="center"/>
    </xf>
    <xf numFmtId="180" fontId="11" fillId="0" borderId="10" xfId="2" applyNumberFormat="1" applyFont="1" applyBorder="1" applyAlignment="1">
      <alignment horizontal="right" vertical="center"/>
    </xf>
    <xf numFmtId="0" fontId="9" fillId="0" borderId="14" xfId="0" quotePrefix="1" applyNumberFormat="1" applyFont="1" applyFill="1" applyBorder="1" applyAlignment="1">
      <alignment horizontal="left" vertical="center"/>
    </xf>
    <xf numFmtId="41" fontId="9" fillId="0" borderId="14" xfId="4" applyNumberFormat="1" applyFont="1" applyFill="1" applyBorder="1">
      <alignment vertical="center"/>
    </xf>
    <xf numFmtId="0" fontId="9" fillId="0" borderId="14" xfId="0" applyNumberFormat="1" applyFont="1" applyFill="1" applyBorder="1" applyAlignment="1">
      <alignment horizontal="center" vertical="center"/>
    </xf>
    <xf numFmtId="0" fontId="10" fillId="0" borderId="14" xfId="0" applyNumberFormat="1" applyFont="1" applyFill="1" applyBorder="1" applyAlignment="1">
      <alignment horizontal="center" vertical="center"/>
    </xf>
    <xf numFmtId="0" fontId="9" fillId="0" borderId="14" xfId="0" quotePrefix="1" applyNumberFormat="1" applyFont="1" applyFill="1" applyBorder="1" applyAlignment="1">
      <alignment horizontal="center" vertical="center"/>
    </xf>
    <xf numFmtId="0" fontId="9" fillId="0" borderId="45" xfId="0" applyNumberFormat="1" applyFont="1" applyFill="1" applyBorder="1">
      <alignment vertical="center"/>
    </xf>
    <xf numFmtId="180" fontId="11" fillId="0" borderId="7" xfId="2" applyNumberFormat="1" applyFont="1" applyBorder="1" applyAlignment="1">
      <alignment horizontal="right" vertical="center"/>
    </xf>
    <xf numFmtId="0" fontId="11" fillId="0" borderId="15" xfId="0" applyNumberFormat="1" applyFont="1" applyBorder="1" applyAlignment="1">
      <alignment horizontal="center" vertical="center"/>
    </xf>
    <xf numFmtId="0" fontId="11" fillId="0" borderId="15" xfId="0" applyNumberFormat="1" applyFont="1" applyBorder="1" applyAlignment="1">
      <alignment horizontal="center" vertical="center" wrapText="1"/>
    </xf>
    <xf numFmtId="178" fontId="11" fillId="0" borderId="43" xfId="2" applyNumberFormat="1" applyFont="1" applyFill="1" applyBorder="1" applyAlignment="1">
      <alignment horizontal="right" vertical="center"/>
    </xf>
    <xf numFmtId="41" fontId="11" fillId="0" borderId="43" xfId="4" applyNumberFormat="1" applyFont="1" applyFill="1" applyBorder="1" applyAlignment="1">
      <alignment horizontal="center" vertical="center"/>
    </xf>
    <xf numFmtId="41" fontId="11" fillId="0" borderId="0" xfId="4" applyNumberFormat="1" applyFont="1">
      <alignment vertical="center"/>
    </xf>
    <xf numFmtId="0" fontId="9" fillId="0" borderId="44" xfId="0" applyNumberFormat="1" applyFont="1" applyBorder="1" applyAlignment="1">
      <alignment horizontal="left" vertical="center"/>
    </xf>
    <xf numFmtId="0" fontId="11" fillId="0" borderId="44" xfId="0" applyNumberFormat="1" applyFont="1" applyBorder="1" applyAlignment="1">
      <alignment horizontal="center" vertical="center" wrapText="1"/>
    </xf>
    <xf numFmtId="0" fontId="13" fillId="0" borderId="23" xfId="0" applyNumberFormat="1" applyFont="1" applyFill="1" applyBorder="1" applyAlignment="1">
      <alignment horizontal="left" vertical="center" shrinkToFit="1"/>
    </xf>
    <xf numFmtId="0" fontId="13" fillId="0" borderId="44" xfId="0" applyNumberFormat="1" applyFont="1" applyFill="1" applyBorder="1" applyAlignment="1">
      <alignment horizontal="left" vertical="center" shrinkToFit="1"/>
    </xf>
    <xf numFmtId="41" fontId="11" fillId="0" borderId="43" xfId="2" applyNumberFormat="1" applyFont="1" applyBorder="1" applyAlignment="1">
      <alignment horizontal="center" vertical="center"/>
    </xf>
    <xf numFmtId="41" fontId="14" fillId="0" borderId="4" xfId="4" applyNumberFormat="1" applyFont="1" applyFill="1" applyBorder="1" applyAlignment="1">
      <alignment horizontal="center" vertical="center"/>
    </xf>
    <xf numFmtId="0" fontId="11" fillId="0" borderId="15" xfId="0" applyNumberFormat="1" applyFont="1" applyBorder="1" applyAlignment="1">
      <alignment horizontal="center" vertical="center" shrinkToFit="1"/>
    </xf>
    <xf numFmtId="41" fontId="11" fillId="0" borderId="3" xfId="2" applyNumberFormat="1" applyFont="1" applyBorder="1" applyAlignment="1">
      <alignment horizontal="right" vertical="center"/>
    </xf>
    <xf numFmtId="41" fontId="11" fillId="0" borderId="38" xfId="2" applyNumberFormat="1" applyFont="1" applyFill="1" applyBorder="1" applyAlignment="1">
      <alignment horizontal="right" vertical="center"/>
    </xf>
    <xf numFmtId="41" fontId="11" fillId="0" borderId="3" xfId="4" applyNumberFormat="1" applyFont="1" applyFill="1" applyBorder="1" applyAlignment="1">
      <alignment horizontal="right" vertical="center"/>
    </xf>
    <xf numFmtId="0" fontId="9" fillId="0" borderId="15" xfId="0" applyNumberFormat="1" applyFont="1" applyBorder="1" applyAlignment="1">
      <alignment horizontal="left" vertical="center"/>
    </xf>
    <xf numFmtId="41" fontId="9" fillId="0" borderId="42" xfId="4" applyNumberFormat="1" applyFont="1" applyBorder="1">
      <alignment vertical="center"/>
    </xf>
    <xf numFmtId="0" fontId="11" fillId="0" borderId="36" xfId="0" applyNumberFormat="1" applyFont="1" applyBorder="1" applyAlignment="1">
      <alignment horizontal="center" vertical="center" wrapText="1"/>
    </xf>
    <xf numFmtId="41" fontId="19" fillId="0" borderId="3" xfId="2" applyNumberFormat="1" applyFont="1" applyBorder="1" applyAlignment="1">
      <alignment horizontal="center" vertical="center"/>
    </xf>
    <xf numFmtId="41" fontId="19" fillId="0" borderId="43" xfId="2" applyNumberFormat="1" applyFont="1" applyBorder="1" applyAlignment="1">
      <alignment horizontal="center" vertical="center"/>
    </xf>
    <xf numFmtId="3" fontId="19" fillId="0" borderId="4" xfId="2" applyNumberFormat="1" applyFont="1" applyBorder="1" applyAlignment="1">
      <alignment horizontal="right" vertical="center"/>
    </xf>
    <xf numFmtId="41" fontId="8" fillId="0" borderId="18" xfId="4" applyNumberFormat="1" applyFont="1" applyBorder="1">
      <alignment vertical="center"/>
    </xf>
    <xf numFmtId="0" fontId="11" fillId="0" borderId="23" xfId="0" applyNumberFormat="1" applyFont="1" applyBorder="1" applyAlignment="1">
      <alignment horizontal="center" vertical="center" wrapText="1"/>
    </xf>
    <xf numFmtId="41" fontId="11" fillId="0" borderId="4" xfId="4" applyNumberFormat="1" applyFont="1" applyFill="1" applyBorder="1" applyAlignment="1">
      <alignment horizontal="right" vertical="center"/>
    </xf>
    <xf numFmtId="180" fontId="11" fillId="0" borderId="3" xfId="2" applyNumberFormat="1" applyFont="1" applyBorder="1" applyAlignment="1">
      <alignment horizontal="right" vertical="center"/>
    </xf>
    <xf numFmtId="41" fontId="11" fillId="0" borderId="4" xfId="4" applyNumberFormat="1" applyFont="1" applyFill="1" applyBorder="1" applyAlignment="1">
      <alignment horizontal="center" vertical="center"/>
    </xf>
    <xf numFmtId="0" fontId="13" fillId="0" borderId="15" xfId="0" applyNumberFormat="1" applyFont="1" applyBorder="1" applyAlignment="1">
      <alignment vertical="center" shrinkToFit="1"/>
    </xf>
    <xf numFmtId="180" fontId="11" fillId="0" borderId="4" xfId="2" applyNumberFormat="1" applyFont="1" applyBorder="1" applyAlignment="1">
      <alignment horizontal="right" vertical="center"/>
    </xf>
    <xf numFmtId="41" fontId="11" fillId="0" borderId="72" xfId="2" applyNumberFormat="1" applyFont="1" applyFill="1" applyBorder="1" applyAlignment="1">
      <alignment horizontal="center" vertical="center"/>
    </xf>
    <xf numFmtId="41" fontId="11" fillId="0" borderId="10" xfId="4" applyNumberFormat="1" applyFont="1" applyFill="1" applyBorder="1" applyAlignment="1">
      <alignment horizontal="center" vertical="center"/>
    </xf>
    <xf numFmtId="180" fontId="11" fillId="0" borderId="6" xfId="2" applyNumberFormat="1" applyFont="1" applyBorder="1" applyAlignment="1">
      <alignment horizontal="right" vertical="center"/>
    </xf>
    <xf numFmtId="0" fontId="9" fillId="0" borderId="66" xfId="0" applyNumberFormat="1" applyFont="1" applyBorder="1" applyAlignment="1">
      <alignment horizontal="left" vertical="center"/>
    </xf>
    <xf numFmtId="3" fontId="11" fillId="0" borderId="0" xfId="0" applyNumberFormat="1" applyFont="1">
      <alignment vertical="center"/>
    </xf>
    <xf numFmtId="3" fontId="11" fillId="0" borderId="0" xfId="2" applyNumberFormat="1" applyFont="1" applyFill="1" applyAlignment="1">
      <alignment horizontal="right" vertical="center"/>
    </xf>
    <xf numFmtId="180" fontId="11" fillId="0" borderId="0" xfId="0" applyNumberFormat="1" applyFont="1" applyAlignment="1">
      <alignment horizontal="right" vertical="center"/>
    </xf>
    <xf numFmtId="0" fontId="13" fillId="0" borderId="0" xfId="0" applyNumberFormat="1" applyFont="1" applyAlignment="1">
      <alignment horizontal="center" vertical="center"/>
    </xf>
  </cellXfs>
  <cellStyles count="7">
    <cellStyle name="백분율" xfId="1" builtinId="5"/>
    <cellStyle name="백분율 2" xfId="3"/>
    <cellStyle name="쉼표 [0]" xfId="2" builtinId="6"/>
    <cellStyle name="쉼표 [0] 2" xfId="4"/>
    <cellStyle name="쉼표 [0] 7" xfId="5"/>
    <cellStyle name="표준" xfId="0" builtinId="0"/>
    <cellStyle name="표준 2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33"/>
  <sheetViews>
    <sheetView tabSelected="1" topLeftCell="A13" zoomScaleNormal="100" zoomScaleSheetLayoutView="75" workbookViewId="0">
      <selection activeCell="Q17" sqref="Q17"/>
    </sheetView>
  </sheetViews>
  <sheetFormatPr defaultColWidth="9" defaultRowHeight="16.5"/>
  <cols>
    <col min="1" max="1" width="9.625" style="1" customWidth="1"/>
    <col min="2" max="2" width="6.375" style="1" customWidth="1"/>
    <col min="3" max="3" width="6" style="1" customWidth="1"/>
    <col min="4" max="4" width="11.375" style="1" customWidth="1"/>
    <col min="5" max="5" width="5.375" style="1" customWidth="1"/>
    <col min="6" max="6" width="6.125" style="1" customWidth="1"/>
    <col min="7" max="8" width="6.875" style="1" customWidth="1"/>
    <col min="9" max="9" width="16.375" style="1" customWidth="1"/>
    <col min="10" max="10" width="9.125" style="1" customWidth="1"/>
    <col min="11" max="11" width="5.125" style="1" customWidth="1"/>
    <col min="12" max="12" width="9.75" style="1" customWidth="1"/>
  </cols>
  <sheetData>
    <row r="1" spans="1:16" ht="29.25" customHeight="1"/>
    <row r="2" spans="1:16" ht="51" customHeight="1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>
      <c r="B3" s="2"/>
    </row>
    <row r="4" spans="1:16">
      <c r="B4" s="8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6" ht="21.75" customHeight="1">
      <c r="B5" s="5" t="s">
        <v>59</v>
      </c>
      <c r="C5" s="32" t="s">
        <v>545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6" ht="21.75" customHeight="1">
      <c r="B6" s="5"/>
      <c r="C6" s="33" t="s">
        <v>535</v>
      </c>
      <c r="D6" s="33"/>
      <c r="E6" s="33"/>
      <c r="F6" s="33"/>
      <c r="G6" s="33"/>
      <c r="H6" s="33"/>
      <c r="I6" s="33"/>
      <c r="J6" s="33"/>
      <c r="K6" s="33"/>
      <c r="L6" s="33"/>
      <c r="M6" s="4"/>
      <c r="N6" s="4"/>
      <c r="O6" s="4"/>
    </row>
    <row r="7" spans="1:16" ht="21.75" customHeight="1">
      <c r="B7" s="5"/>
      <c r="C7" s="32" t="s">
        <v>279</v>
      </c>
      <c r="D7" s="32"/>
      <c r="E7" s="36" t="s">
        <v>279</v>
      </c>
      <c r="F7" s="36"/>
      <c r="G7" s="32"/>
      <c r="H7" s="32"/>
      <c r="I7" s="32"/>
      <c r="J7" s="32"/>
      <c r="K7" s="32"/>
      <c r="L7" s="32"/>
      <c r="M7" s="4"/>
      <c r="N7" s="4"/>
      <c r="O7" s="4"/>
    </row>
    <row r="8" spans="1:16" ht="21.75" customHeight="1">
      <c r="B8" s="5" t="s">
        <v>1</v>
      </c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  <c r="O8" s="4"/>
    </row>
    <row r="9" spans="1:16" ht="21.75" customHeight="1">
      <c r="B9" s="5"/>
      <c r="C9" s="5" t="s">
        <v>519</v>
      </c>
      <c r="D9" s="6"/>
      <c r="E9" s="6"/>
      <c r="F9" s="6"/>
      <c r="G9" s="6"/>
      <c r="H9" s="6"/>
      <c r="I9" s="6"/>
      <c r="J9" s="6"/>
      <c r="K9" s="6"/>
      <c r="L9" s="6"/>
      <c r="M9" s="4"/>
      <c r="N9" s="4"/>
      <c r="O9" s="4"/>
    </row>
    <row r="10" spans="1:16" ht="21.75" customHeight="1">
      <c r="B10" s="5"/>
      <c r="C10" s="5"/>
      <c r="D10" s="5" t="s">
        <v>86</v>
      </c>
      <c r="E10" s="6"/>
      <c r="F10" s="34">
        <v>112555</v>
      </c>
      <c r="G10" s="34"/>
      <c r="H10" s="6" t="s">
        <v>286</v>
      </c>
      <c r="I10" s="6" t="s">
        <v>123</v>
      </c>
      <c r="J10" s="34">
        <v>8380</v>
      </c>
      <c r="K10" s="34"/>
      <c r="L10" s="6" t="s">
        <v>286</v>
      </c>
      <c r="M10" s="4"/>
      <c r="N10" s="4"/>
      <c r="O10" s="4"/>
    </row>
    <row r="11" spans="1:16" ht="21.75" customHeight="1">
      <c r="B11" s="5"/>
      <c r="C11" s="5"/>
      <c r="D11" s="5" t="s">
        <v>147</v>
      </c>
      <c r="E11" s="6"/>
      <c r="F11" s="34">
        <v>205000</v>
      </c>
      <c r="G11" s="34"/>
      <c r="H11" s="6" t="s">
        <v>286</v>
      </c>
      <c r="I11" s="6" t="s">
        <v>141</v>
      </c>
      <c r="J11" s="34">
        <v>2132859.784</v>
      </c>
      <c r="K11" s="34"/>
      <c r="L11" s="6" t="s">
        <v>286</v>
      </c>
      <c r="M11" s="4"/>
      <c r="N11" s="4"/>
      <c r="O11" s="4"/>
    </row>
    <row r="12" spans="1:16" ht="21.75" customHeight="1">
      <c r="B12" s="5"/>
      <c r="C12" s="5"/>
      <c r="D12" s="5" t="s">
        <v>104</v>
      </c>
      <c r="E12" s="6"/>
      <c r="F12" s="34">
        <v>1507308.2150000001</v>
      </c>
      <c r="G12" s="34"/>
      <c r="H12" s="6" t="s">
        <v>286</v>
      </c>
      <c r="I12" s="5" t="s">
        <v>191</v>
      </c>
      <c r="J12" s="35">
        <v>4546463.5979999993</v>
      </c>
      <c r="K12" s="35"/>
      <c r="L12" s="10" t="s">
        <v>286</v>
      </c>
      <c r="M12" s="6"/>
      <c r="N12" s="4"/>
      <c r="O12" s="4"/>
    </row>
    <row r="13" spans="1:16" ht="21.75" customHeight="1">
      <c r="B13" s="5"/>
      <c r="C13" s="5"/>
      <c r="D13" s="5" t="s">
        <v>144</v>
      </c>
      <c r="F13" s="34">
        <v>412261.97</v>
      </c>
      <c r="G13" s="34"/>
      <c r="H13" s="11" t="s">
        <v>286</v>
      </c>
      <c r="I13" s="11" t="s">
        <v>335</v>
      </c>
      <c r="J13" s="37">
        <v>0</v>
      </c>
      <c r="K13" s="38"/>
      <c r="L13" s="10" t="s">
        <v>286</v>
      </c>
      <c r="M13" s="4"/>
      <c r="N13" s="4"/>
      <c r="O13" s="4"/>
    </row>
    <row r="14" spans="1:16" ht="21.75" customHeight="1">
      <c r="B14" s="5"/>
      <c r="C14" s="5" t="s">
        <v>10</v>
      </c>
      <c r="D14" s="6"/>
      <c r="E14" s="6"/>
      <c r="F14" s="6"/>
      <c r="G14" s="6"/>
      <c r="H14" s="6"/>
      <c r="I14" s="6"/>
      <c r="J14" s="41"/>
      <c r="K14" s="41"/>
      <c r="L14" s="6"/>
      <c r="M14" s="4"/>
      <c r="N14" s="4"/>
      <c r="O14" s="4"/>
    </row>
    <row r="15" spans="1:16" ht="21.75" customHeight="1">
      <c r="B15" s="5"/>
      <c r="C15" s="5"/>
      <c r="D15" s="5" t="s">
        <v>91</v>
      </c>
      <c r="E15" s="6"/>
      <c r="F15" s="34">
        <v>1321865.0798249999</v>
      </c>
      <c r="G15" s="34"/>
      <c r="H15" s="6" t="s">
        <v>286</v>
      </c>
      <c r="I15" s="6" t="s">
        <v>457</v>
      </c>
      <c r="J15" s="34">
        <v>30877.469980000002</v>
      </c>
      <c r="K15" s="34"/>
      <c r="L15" s="6" t="s">
        <v>286</v>
      </c>
      <c r="M15" s="4"/>
      <c r="N15" s="4"/>
      <c r="O15" s="4"/>
    </row>
    <row r="16" spans="1:16" ht="21.75" customHeight="1">
      <c r="B16" s="5"/>
      <c r="C16" s="5"/>
      <c r="D16" s="5" t="s">
        <v>118</v>
      </c>
      <c r="E16" s="6"/>
      <c r="F16" s="34">
        <v>946360.92998999998</v>
      </c>
      <c r="G16" s="34"/>
      <c r="H16" s="6" t="s">
        <v>286</v>
      </c>
      <c r="I16" s="6" t="s">
        <v>450</v>
      </c>
      <c r="J16" s="34">
        <v>0</v>
      </c>
      <c r="K16" s="34"/>
      <c r="L16" s="6" t="s">
        <v>286</v>
      </c>
      <c r="M16" s="4"/>
      <c r="N16" s="4"/>
      <c r="O16" s="4"/>
    </row>
    <row r="17" spans="2:15" ht="21.75" customHeight="1">
      <c r="B17" s="5"/>
      <c r="C17" s="5"/>
      <c r="D17" s="5" t="s">
        <v>126</v>
      </c>
      <c r="E17" s="6"/>
      <c r="F17" s="34">
        <v>57596.114999999998</v>
      </c>
      <c r="G17" s="34"/>
      <c r="H17" s="6" t="s">
        <v>286</v>
      </c>
      <c r="I17" s="6" t="s">
        <v>96</v>
      </c>
      <c r="J17" s="34">
        <v>13420</v>
      </c>
      <c r="K17" s="34"/>
      <c r="L17" s="6" t="s">
        <v>286</v>
      </c>
      <c r="M17" s="4"/>
      <c r="N17" s="4"/>
      <c r="O17" s="4"/>
    </row>
    <row r="18" spans="2:15" ht="21.75" customHeight="1">
      <c r="B18" s="5"/>
      <c r="C18" s="5"/>
      <c r="D18" s="5" t="s">
        <v>452</v>
      </c>
      <c r="E18" s="6"/>
      <c r="F18" s="34">
        <v>1961829.08993</v>
      </c>
      <c r="G18" s="34"/>
      <c r="H18" s="6" t="s">
        <v>286</v>
      </c>
      <c r="I18" s="9" t="s">
        <v>458</v>
      </c>
      <c r="J18" s="34">
        <v>4592880.8820000002</v>
      </c>
      <c r="K18" s="34"/>
      <c r="L18" s="6" t="s">
        <v>286</v>
      </c>
      <c r="M18" s="4"/>
      <c r="N18" s="4"/>
      <c r="O18" s="4"/>
    </row>
    <row r="19" spans="2:15" ht="21.75" customHeight="1">
      <c r="B19" s="5"/>
      <c r="C19" s="5"/>
      <c r="D19" s="5"/>
      <c r="E19" s="6"/>
      <c r="F19" s="34"/>
      <c r="G19" s="34"/>
      <c r="H19" s="6"/>
      <c r="I19" s="6"/>
      <c r="J19" s="6"/>
      <c r="K19" s="6"/>
      <c r="L19" s="6"/>
      <c r="M19" s="4"/>
      <c r="N19" s="4"/>
      <c r="O19" s="4"/>
    </row>
    <row r="20" spans="2:15" ht="21.75" customHeight="1">
      <c r="B20" s="5" t="s">
        <v>128</v>
      </c>
      <c r="C20" s="6" t="s">
        <v>22</v>
      </c>
      <c r="D20" s="6"/>
      <c r="E20" s="6"/>
      <c r="F20" s="6"/>
      <c r="G20" s="6"/>
      <c r="H20" s="6"/>
      <c r="I20" s="6"/>
      <c r="J20" s="6"/>
      <c r="K20" s="6"/>
      <c r="L20" s="6"/>
      <c r="M20" s="4"/>
      <c r="N20" s="4"/>
      <c r="O20" s="4"/>
    </row>
    <row r="21" spans="2:15" ht="21.75" customHeight="1">
      <c r="B21" s="5"/>
      <c r="C21" s="6" t="s">
        <v>517</v>
      </c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  <c r="O21" s="4"/>
    </row>
    <row r="22" spans="2:15" ht="21.75" customHeight="1">
      <c r="B22" s="5" t="s">
        <v>279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  <c r="O22" s="4"/>
    </row>
    <row r="23" spans="2:15" ht="21.75" customHeight="1">
      <c r="B23" s="5" t="s">
        <v>132</v>
      </c>
      <c r="C23" s="6" t="s">
        <v>21</v>
      </c>
      <c r="D23" s="6"/>
      <c r="E23" s="6"/>
      <c r="F23" s="6"/>
      <c r="G23" s="6"/>
      <c r="H23" s="6"/>
      <c r="I23" s="6"/>
      <c r="J23" s="6"/>
      <c r="K23" s="6"/>
      <c r="L23" s="6"/>
      <c r="M23" s="4"/>
      <c r="N23" s="4"/>
      <c r="O23" s="4"/>
    </row>
    <row r="24" spans="2:15" ht="21.75" customHeight="1"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4"/>
      <c r="N24" s="4"/>
      <c r="O24" s="4"/>
    </row>
    <row r="25" spans="2:15" ht="21.75" customHeight="1">
      <c r="B25" s="5"/>
      <c r="C25" s="6"/>
      <c r="D25" s="39"/>
      <c r="E25" s="39"/>
      <c r="F25" s="40"/>
      <c r="G25" s="40"/>
      <c r="H25" s="6"/>
      <c r="I25" s="6"/>
      <c r="J25" s="6"/>
      <c r="K25" s="6"/>
      <c r="L25" s="7"/>
    </row>
    <row r="26" spans="2:15" ht="21.75" customHeight="1">
      <c r="B26" s="5"/>
      <c r="C26" s="6" t="s">
        <v>279</v>
      </c>
      <c r="D26" s="39"/>
      <c r="E26" s="39"/>
      <c r="F26" s="40"/>
      <c r="G26" s="40"/>
      <c r="H26" s="6"/>
      <c r="I26" s="6"/>
      <c r="J26" s="6"/>
      <c r="K26" s="6"/>
      <c r="L26" s="7"/>
    </row>
    <row r="27" spans="2:15" ht="21.75" customHeight="1">
      <c r="B27" s="5"/>
      <c r="C27" s="6"/>
      <c r="D27" s="39"/>
      <c r="E27" s="39"/>
      <c r="F27" s="40"/>
      <c r="G27" s="40"/>
      <c r="H27" s="6"/>
      <c r="I27" s="6"/>
      <c r="J27" s="6"/>
      <c r="K27" s="6"/>
      <c r="L27" s="7"/>
    </row>
    <row r="28" spans="2:15" ht="21.75" customHeight="1">
      <c r="B28" s="5"/>
      <c r="C28" s="6"/>
      <c r="D28" s="6"/>
      <c r="E28" s="6"/>
      <c r="F28" s="6"/>
      <c r="G28" s="6"/>
      <c r="H28" s="6"/>
      <c r="I28" s="6"/>
      <c r="J28" s="6"/>
      <c r="K28" s="6"/>
      <c r="L28" s="7"/>
    </row>
    <row r="29" spans="2:15" ht="21.75" customHeight="1">
      <c r="B29" s="5"/>
      <c r="C29" s="6"/>
      <c r="D29" s="6"/>
      <c r="E29" s="6"/>
      <c r="F29" s="6"/>
      <c r="G29" s="6"/>
      <c r="H29" s="6"/>
      <c r="I29" s="6"/>
      <c r="J29" s="6"/>
      <c r="K29" s="6"/>
      <c r="L29" s="7"/>
    </row>
    <row r="30" spans="2:15" ht="21.75" customHeight="1">
      <c r="B30" s="5"/>
      <c r="C30" s="6"/>
      <c r="D30" s="6"/>
      <c r="E30" s="6"/>
      <c r="F30" s="6"/>
      <c r="G30" s="6"/>
      <c r="H30" s="6"/>
      <c r="I30" s="6"/>
      <c r="J30" s="6"/>
      <c r="K30" s="6"/>
      <c r="L30" s="7"/>
    </row>
    <row r="31" spans="2:15" ht="21.75" customHeight="1">
      <c r="B31" s="5"/>
      <c r="C31" s="6"/>
      <c r="D31" s="6"/>
      <c r="E31" s="6"/>
      <c r="F31" s="6"/>
      <c r="G31" s="6"/>
      <c r="H31" s="6"/>
      <c r="I31" s="6"/>
      <c r="J31" s="6"/>
      <c r="K31" s="6"/>
      <c r="L31" s="7"/>
    </row>
    <row r="32" spans="2:15" ht="21.75" customHeight="1">
      <c r="B32" s="5"/>
      <c r="C32" s="6"/>
      <c r="D32" s="6"/>
      <c r="E32" s="6"/>
      <c r="F32" s="6"/>
      <c r="G32" s="6"/>
      <c r="H32" s="6"/>
      <c r="I32" s="6"/>
      <c r="J32" s="6"/>
      <c r="K32" s="6"/>
      <c r="L32" s="7"/>
    </row>
    <row r="33" spans="2:11" ht="21.75" customHeight="1">
      <c r="B33" s="3"/>
      <c r="C33" s="4"/>
      <c r="D33" s="4"/>
      <c r="E33" s="4"/>
      <c r="F33" s="4"/>
      <c r="G33" s="4"/>
      <c r="H33" s="4"/>
      <c r="I33" s="4"/>
      <c r="J33" s="4"/>
      <c r="K33" s="4"/>
    </row>
  </sheetData>
  <mergeCells count="30">
    <mergeCell ref="J18:K18"/>
    <mergeCell ref="F27:G27"/>
    <mergeCell ref="F19:G19"/>
    <mergeCell ref="F25:G25"/>
    <mergeCell ref="J14:K14"/>
    <mergeCell ref="J15:K15"/>
    <mergeCell ref="D27:E27"/>
    <mergeCell ref="D25:E25"/>
    <mergeCell ref="D26:E26"/>
    <mergeCell ref="F10:G10"/>
    <mergeCell ref="F11:G11"/>
    <mergeCell ref="F26:G26"/>
    <mergeCell ref="F12:G12"/>
    <mergeCell ref="F15:G15"/>
    <mergeCell ref="F13:G13"/>
    <mergeCell ref="F17:G17"/>
    <mergeCell ref="F18:G18"/>
    <mergeCell ref="F16:G16"/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</mergeCells>
  <phoneticPr fontId="7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F0"/>
  </sheetPr>
  <dimension ref="A1:AA107"/>
  <sheetViews>
    <sheetView view="pageBreakPreview" zoomScaleNormal="100" zoomScaleSheetLayoutView="100" workbookViewId="0">
      <selection activeCell="AC50" sqref="AC50"/>
    </sheetView>
  </sheetViews>
  <sheetFormatPr defaultColWidth="9" defaultRowHeight="16.5"/>
  <cols>
    <col min="1" max="1" width="7.25" style="45" customWidth="1"/>
    <col min="2" max="2" width="8.125" style="45" customWidth="1"/>
    <col min="3" max="3" width="13.25" style="45" customWidth="1"/>
    <col min="4" max="4" width="13.125" style="47" customWidth="1"/>
    <col min="5" max="5" width="13.125" style="46" customWidth="1"/>
    <col min="6" max="6" width="0.125" style="46" hidden="1" customWidth="1"/>
    <col min="7" max="7" width="10.125" style="714" customWidth="1"/>
    <col min="8" max="8" width="8.125" style="715" customWidth="1"/>
    <col min="9" max="9" width="22.75" style="207" customWidth="1"/>
    <col min="10" max="10" width="12.5" style="207" customWidth="1"/>
    <col min="11" max="12" width="3.125" style="716" customWidth="1"/>
    <col min="13" max="13" width="3.625" style="207" customWidth="1"/>
    <col min="14" max="14" width="3.125" style="207" customWidth="1"/>
    <col min="15" max="15" width="2.625" style="207" customWidth="1"/>
    <col min="16" max="16" width="13.625" style="207" customWidth="1"/>
    <col min="17" max="17" width="2.5" style="207" customWidth="1"/>
    <col min="18" max="18" width="0.125" style="54" hidden="1" customWidth="1"/>
    <col min="19" max="19" width="20.875" style="55" hidden="1" customWidth="1"/>
    <col min="20" max="20" width="13.5" style="54" hidden="1" customWidth="1"/>
    <col min="21" max="21" width="31.25" style="54" hidden="1" customWidth="1"/>
    <col min="22" max="22" width="0.25" style="54" hidden="1" customWidth="1"/>
    <col min="23" max="26" width="9" style="54" hidden="1" customWidth="1"/>
    <col min="27" max="27" width="11.5" style="54" customWidth="1"/>
    <col min="28" max="16384" width="9" style="54"/>
  </cols>
  <sheetData>
    <row r="1" spans="1:19" ht="22.5">
      <c r="A1" s="519" t="s">
        <v>514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</row>
    <row r="2" spans="1:19" ht="22.5">
      <c r="A2" s="520"/>
      <c r="B2" s="520"/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</row>
    <row r="3" spans="1:19" ht="21.95" customHeight="1" thickBot="1">
      <c r="A3" s="521" t="s">
        <v>537</v>
      </c>
      <c r="B3" s="521"/>
      <c r="C3" s="58"/>
      <c r="D3" s="58"/>
      <c r="E3" s="522"/>
      <c r="F3" s="522"/>
      <c r="G3" s="523"/>
      <c r="H3" s="524"/>
      <c r="I3" s="58"/>
      <c r="J3" s="58" t="s">
        <v>279</v>
      </c>
      <c r="K3" s="58"/>
      <c r="L3" s="58"/>
      <c r="M3" s="58"/>
      <c r="N3" s="58"/>
      <c r="O3" s="63" t="s">
        <v>399</v>
      </c>
      <c r="P3" s="63"/>
      <c r="Q3" s="63"/>
    </row>
    <row r="4" spans="1:19" ht="19.5" customHeight="1">
      <c r="A4" s="64" t="s">
        <v>247</v>
      </c>
      <c r="B4" s="525" t="s">
        <v>254</v>
      </c>
      <c r="C4" s="526" t="s">
        <v>243</v>
      </c>
      <c r="D4" s="527" t="s">
        <v>498</v>
      </c>
      <c r="E4" s="527" t="s">
        <v>499</v>
      </c>
      <c r="F4" s="528" t="s">
        <v>2</v>
      </c>
      <c r="G4" s="529" t="s">
        <v>42</v>
      </c>
      <c r="H4" s="529"/>
      <c r="I4" s="530" t="s">
        <v>547</v>
      </c>
      <c r="J4" s="525"/>
      <c r="K4" s="525"/>
      <c r="L4" s="525"/>
      <c r="M4" s="525"/>
      <c r="N4" s="525"/>
      <c r="O4" s="525"/>
      <c r="P4" s="525"/>
      <c r="Q4" s="65"/>
    </row>
    <row r="5" spans="1:19" ht="19.5" customHeight="1" thickBot="1">
      <c r="A5" s="70"/>
      <c r="B5" s="531"/>
      <c r="C5" s="532"/>
      <c r="D5" s="533"/>
      <c r="E5" s="533"/>
      <c r="F5" s="534"/>
      <c r="G5" s="535" t="s">
        <v>261</v>
      </c>
      <c r="H5" s="536" t="s">
        <v>139</v>
      </c>
      <c r="I5" s="537"/>
      <c r="J5" s="531"/>
      <c r="K5" s="531"/>
      <c r="L5" s="531"/>
      <c r="M5" s="531"/>
      <c r="N5" s="531"/>
      <c r="O5" s="531"/>
      <c r="P5" s="531"/>
      <c r="Q5" s="71"/>
    </row>
    <row r="6" spans="1:19" ht="20.100000000000001" customHeight="1" thickBot="1">
      <c r="A6" s="77" t="s">
        <v>63</v>
      </c>
      <c r="B6" s="78"/>
      <c r="C6" s="79"/>
      <c r="D6" s="538">
        <f>SUM(D7,D71,D39,D85,D22,D31,D34,D90)</f>
        <v>8953155</v>
      </c>
      <c r="E6" s="539">
        <f>SUM(E7,E71,E39,E85,E22,E31,E34,E90)</f>
        <v>8924828.5669999998</v>
      </c>
      <c r="F6" s="540" t="e">
        <f>SUM(F7,#REF!,F71,F39,F85,F22,F31,#REF!,F34)</f>
        <v>#REF!</v>
      </c>
      <c r="G6" s="541">
        <f>+E6-D6</f>
        <v>-28326.433000000194</v>
      </c>
      <c r="H6" s="542">
        <f>+G6/D6*100</f>
        <v>-0.31638492799465878</v>
      </c>
      <c r="I6" s="86"/>
      <c r="J6" s="86"/>
      <c r="K6" s="87"/>
      <c r="L6" s="87"/>
      <c r="M6" s="86"/>
      <c r="N6" s="86"/>
      <c r="O6" s="86"/>
      <c r="P6" s="543">
        <f>SUM(P7,P22,P31,P34,P39,P71,P85,P90)</f>
        <v>8924828567</v>
      </c>
      <c r="Q6" s="544" t="s">
        <v>245</v>
      </c>
    </row>
    <row r="7" spans="1:19" s="52" customFormat="1" ht="18.95" customHeight="1" thickTop="1">
      <c r="A7" s="91" t="s">
        <v>239</v>
      </c>
      <c r="B7" s="212" t="s">
        <v>265</v>
      </c>
      <c r="C7" s="213"/>
      <c r="D7" s="545">
        <f>SUM(D8)</f>
        <v>112555</v>
      </c>
      <c r="E7" s="546">
        <f>SUM(E8)</f>
        <v>112555</v>
      </c>
      <c r="F7" s="547">
        <f>SUM(F8)</f>
        <v>71084</v>
      </c>
      <c r="G7" s="548">
        <f>+E7-D7</f>
        <v>0</v>
      </c>
      <c r="H7" s="549">
        <f>+G7/D7*100</f>
        <v>0</v>
      </c>
      <c r="I7" s="550"/>
      <c r="J7" s="550"/>
      <c r="K7" s="551"/>
      <c r="L7" s="551"/>
      <c r="M7" s="550"/>
      <c r="N7" s="550"/>
      <c r="O7" s="550"/>
      <c r="P7" s="552">
        <f>P8</f>
        <v>112555000</v>
      </c>
      <c r="Q7" s="220" t="s">
        <v>245</v>
      </c>
      <c r="S7" s="51"/>
    </row>
    <row r="8" spans="1:19" s="52" customFormat="1" ht="17.100000000000001" customHeight="1">
      <c r="A8" s="91" t="s">
        <v>267</v>
      </c>
      <c r="B8" s="189" t="s">
        <v>248</v>
      </c>
      <c r="C8" s="380" t="s">
        <v>258</v>
      </c>
      <c r="D8" s="553">
        <f>SUM(D9:D21)</f>
        <v>112555</v>
      </c>
      <c r="E8" s="554">
        <f>SUM(E9:E21)</f>
        <v>112555</v>
      </c>
      <c r="F8" s="555">
        <f>SUM(F9:F19)</f>
        <v>71084</v>
      </c>
      <c r="G8" s="556">
        <f>+E8-D8</f>
        <v>0</v>
      </c>
      <c r="H8" s="557">
        <f>+G8/D8*100</f>
        <v>0</v>
      </c>
      <c r="I8" s="558"/>
      <c r="J8" s="558"/>
      <c r="K8" s="559"/>
      <c r="L8" s="559"/>
      <c r="M8" s="558"/>
      <c r="N8" s="558"/>
      <c r="O8" s="558"/>
      <c r="P8" s="196">
        <f>SUM(P9,P16,P20)</f>
        <v>112555000</v>
      </c>
      <c r="Q8" s="129" t="s">
        <v>245</v>
      </c>
      <c r="S8" s="51"/>
    </row>
    <row r="9" spans="1:19" s="52" customFormat="1" ht="17.100000000000001" customHeight="1">
      <c r="A9" s="147"/>
      <c r="B9" s="106" t="s">
        <v>62</v>
      </c>
      <c r="C9" s="388" t="s">
        <v>76</v>
      </c>
      <c r="D9" s="560">
        <v>58720</v>
      </c>
      <c r="E9" s="561">
        <f>+P9/1000</f>
        <v>58720</v>
      </c>
      <c r="F9" s="562">
        <v>0</v>
      </c>
      <c r="G9" s="563">
        <f>+E9-D9</f>
        <v>0</v>
      </c>
      <c r="H9" s="564">
        <f>+G9/D9*100</f>
        <v>0</v>
      </c>
      <c r="I9" s="125"/>
      <c r="J9" s="126"/>
      <c r="K9" s="128"/>
      <c r="L9" s="128"/>
      <c r="M9" s="152" t="s">
        <v>253</v>
      </c>
      <c r="N9" s="152"/>
      <c r="O9" s="152"/>
      <c r="P9" s="126">
        <f>SUM(P10:P15)</f>
        <v>58720000</v>
      </c>
      <c r="Q9" s="129" t="s">
        <v>245</v>
      </c>
      <c r="S9" s="51"/>
    </row>
    <row r="10" spans="1:19" s="52" customFormat="1" ht="17.100000000000001" customHeight="1">
      <c r="A10" s="147"/>
      <c r="B10" s="119"/>
      <c r="C10" s="387"/>
      <c r="D10" s="565"/>
      <c r="E10" s="566"/>
      <c r="F10" s="567"/>
      <c r="G10" s="568"/>
      <c r="H10" s="569"/>
      <c r="I10" s="136" t="s">
        <v>7</v>
      </c>
      <c r="J10" s="570">
        <v>850000</v>
      </c>
      <c r="K10" s="116" t="s">
        <v>245</v>
      </c>
      <c r="L10" s="137" t="s">
        <v>251</v>
      </c>
      <c r="M10" s="116">
        <v>12</v>
      </c>
      <c r="N10" s="116" t="s">
        <v>246</v>
      </c>
      <c r="O10" s="116" t="s">
        <v>257</v>
      </c>
      <c r="P10" s="293">
        <f t="shared" ref="P10:P15" si="0">SUM(J10*M10)</f>
        <v>10200000</v>
      </c>
      <c r="Q10" s="17" t="s">
        <v>245</v>
      </c>
      <c r="S10" s="51"/>
    </row>
    <row r="11" spans="1:19" s="52" customFormat="1" ht="17.100000000000001" customHeight="1">
      <c r="A11" s="147"/>
      <c r="B11" s="119"/>
      <c r="C11" s="387"/>
      <c r="D11" s="565"/>
      <c r="E11" s="566"/>
      <c r="F11" s="571"/>
      <c r="G11" s="568"/>
      <c r="H11" s="569"/>
      <c r="I11" s="136" t="s">
        <v>491</v>
      </c>
      <c r="J11" s="570">
        <v>510000</v>
      </c>
      <c r="K11" s="116" t="s">
        <v>245</v>
      </c>
      <c r="L11" s="137" t="s">
        <v>251</v>
      </c>
      <c r="M11" s="116">
        <v>12</v>
      </c>
      <c r="N11" s="116" t="s">
        <v>246</v>
      </c>
      <c r="O11" s="116" t="s">
        <v>257</v>
      </c>
      <c r="P11" s="293">
        <f t="shared" si="0"/>
        <v>6120000</v>
      </c>
      <c r="Q11" s="17" t="s">
        <v>245</v>
      </c>
      <c r="S11" s="51"/>
    </row>
    <row r="12" spans="1:19" s="52" customFormat="1" ht="17.100000000000001" customHeight="1">
      <c r="A12" s="147"/>
      <c r="B12" s="119"/>
      <c r="C12" s="387"/>
      <c r="D12" s="565"/>
      <c r="E12" s="566"/>
      <c r="F12" s="567"/>
      <c r="G12" s="568"/>
      <c r="H12" s="569"/>
      <c r="I12" s="136" t="s">
        <v>352</v>
      </c>
      <c r="J12" s="570">
        <v>500000</v>
      </c>
      <c r="K12" s="116" t="s">
        <v>245</v>
      </c>
      <c r="L12" s="137" t="s">
        <v>251</v>
      </c>
      <c r="M12" s="116">
        <v>8</v>
      </c>
      <c r="N12" s="116" t="s">
        <v>246</v>
      </c>
      <c r="O12" s="116" t="s">
        <v>257</v>
      </c>
      <c r="P12" s="293">
        <f t="shared" si="0"/>
        <v>4000000</v>
      </c>
      <c r="Q12" s="17" t="s">
        <v>245</v>
      </c>
      <c r="S12" s="51"/>
    </row>
    <row r="13" spans="1:19" s="52" customFormat="1" ht="17.100000000000001" customHeight="1">
      <c r="A13" s="147"/>
      <c r="B13" s="119"/>
      <c r="C13" s="387"/>
      <c r="D13" s="565"/>
      <c r="E13" s="566"/>
      <c r="F13" s="567"/>
      <c r="G13" s="568"/>
      <c r="H13" s="569"/>
      <c r="I13" s="136" t="s">
        <v>349</v>
      </c>
      <c r="J13" s="570">
        <v>2100000</v>
      </c>
      <c r="K13" s="116" t="s">
        <v>245</v>
      </c>
      <c r="L13" s="137" t="s">
        <v>251</v>
      </c>
      <c r="M13" s="116">
        <v>12</v>
      </c>
      <c r="N13" s="116" t="s">
        <v>246</v>
      </c>
      <c r="O13" s="116" t="s">
        <v>257</v>
      </c>
      <c r="P13" s="293">
        <f t="shared" si="0"/>
        <v>25200000</v>
      </c>
      <c r="Q13" s="17" t="s">
        <v>245</v>
      </c>
      <c r="S13" s="51"/>
    </row>
    <row r="14" spans="1:19" s="52" customFormat="1" ht="17.100000000000001" customHeight="1">
      <c r="A14" s="147"/>
      <c r="B14" s="119"/>
      <c r="C14" s="387"/>
      <c r="D14" s="565"/>
      <c r="E14" s="566"/>
      <c r="F14" s="567"/>
      <c r="G14" s="568"/>
      <c r="H14" s="569"/>
      <c r="I14" s="136" t="s">
        <v>404</v>
      </c>
      <c r="J14" s="570">
        <v>975000</v>
      </c>
      <c r="K14" s="116" t="s">
        <v>245</v>
      </c>
      <c r="L14" s="137" t="s">
        <v>251</v>
      </c>
      <c r="M14" s="116">
        <v>12</v>
      </c>
      <c r="N14" s="116" t="s">
        <v>246</v>
      </c>
      <c r="O14" s="116" t="s">
        <v>257</v>
      </c>
      <c r="P14" s="293">
        <f t="shared" si="0"/>
        <v>11700000</v>
      </c>
      <c r="Q14" s="17" t="s">
        <v>245</v>
      </c>
      <c r="S14" s="51"/>
    </row>
    <row r="15" spans="1:19" s="52" customFormat="1" ht="17.100000000000001" customHeight="1">
      <c r="A15" s="147"/>
      <c r="B15" s="119"/>
      <c r="C15" s="389"/>
      <c r="D15" s="572"/>
      <c r="E15" s="573"/>
      <c r="F15" s="567"/>
      <c r="G15" s="574"/>
      <c r="H15" s="575"/>
      <c r="I15" s="136" t="s">
        <v>510</v>
      </c>
      <c r="J15" s="173">
        <v>750000</v>
      </c>
      <c r="K15" s="116" t="s">
        <v>245</v>
      </c>
      <c r="L15" s="137" t="s">
        <v>251</v>
      </c>
      <c r="M15" s="116">
        <v>2</v>
      </c>
      <c r="N15" s="116" t="s">
        <v>255</v>
      </c>
      <c r="O15" s="116" t="s">
        <v>257</v>
      </c>
      <c r="P15" s="293">
        <f t="shared" si="0"/>
        <v>1500000</v>
      </c>
      <c r="Q15" s="17" t="s">
        <v>245</v>
      </c>
      <c r="S15" s="51"/>
    </row>
    <row r="16" spans="1:19" s="52" customFormat="1" ht="17.100000000000001" customHeight="1">
      <c r="A16" s="147"/>
      <c r="B16" s="119"/>
      <c r="C16" s="386" t="s">
        <v>400</v>
      </c>
      <c r="D16" s="560">
        <v>52625</v>
      </c>
      <c r="E16" s="561">
        <f>+P16/1000</f>
        <v>52625</v>
      </c>
      <c r="F16" s="576">
        <v>71084</v>
      </c>
      <c r="G16" s="577">
        <f>+E16-D16</f>
        <v>0</v>
      </c>
      <c r="H16" s="578">
        <f>+G16/D16*100</f>
        <v>0</v>
      </c>
      <c r="I16" s="125"/>
      <c r="J16" s="126"/>
      <c r="K16" s="128"/>
      <c r="L16" s="128"/>
      <c r="M16" s="152" t="s">
        <v>253</v>
      </c>
      <c r="N16" s="152"/>
      <c r="O16" s="152"/>
      <c r="P16" s="126">
        <f>SUM(P17:P19)</f>
        <v>52625000</v>
      </c>
      <c r="Q16" s="129" t="s">
        <v>245</v>
      </c>
      <c r="S16" s="51"/>
    </row>
    <row r="17" spans="1:19" s="52" customFormat="1" ht="17.100000000000001" customHeight="1">
      <c r="A17" s="147"/>
      <c r="B17" s="119"/>
      <c r="C17" s="579"/>
      <c r="D17" s="565"/>
      <c r="E17" s="566"/>
      <c r="F17" s="580"/>
      <c r="G17" s="581"/>
      <c r="H17" s="582"/>
      <c r="I17" s="136" t="s">
        <v>471</v>
      </c>
      <c r="J17" s="293">
        <v>7200000</v>
      </c>
      <c r="K17" s="116" t="s">
        <v>245</v>
      </c>
      <c r="L17" s="137" t="s">
        <v>251</v>
      </c>
      <c r="M17" s="116">
        <v>1</v>
      </c>
      <c r="N17" s="116" t="s">
        <v>255</v>
      </c>
      <c r="O17" s="138" t="s">
        <v>257</v>
      </c>
      <c r="P17" s="293">
        <f>J17*M17</f>
        <v>7200000</v>
      </c>
      <c r="Q17" s="17" t="s">
        <v>245</v>
      </c>
      <c r="S17" s="51"/>
    </row>
    <row r="18" spans="1:19" s="52" customFormat="1" ht="17.100000000000001" customHeight="1">
      <c r="A18" s="147"/>
      <c r="B18" s="119"/>
      <c r="C18" s="579"/>
      <c r="D18" s="565"/>
      <c r="E18" s="566"/>
      <c r="F18" s="580"/>
      <c r="G18" s="581"/>
      <c r="H18" s="582"/>
      <c r="I18" s="136" t="s">
        <v>480</v>
      </c>
      <c r="J18" s="293">
        <v>5037500</v>
      </c>
      <c r="K18" s="116" t="s">
        <v>245</v>
      </c>
      <c r="L18" s="137" t="s">
        <v>251</v>
      </c>
      <c r="M18" s="116">
        <v>6</v>
      </c>
      <c r="N18" s="116" t="s">
        <v>255</v>
      </c>
      <c r="O18" s="138" t="s">
        <v>257</v>
      </c>
      <c r="P18" s="293">
        <f>J18*M18</f>
        <v>30225000</v>
      </c>
      <c r="Q18" s="17" t="s">
        <v>245</v>
      </c>
      <c r="S18" s="51"/>
    </row>
    <row r="19" spans="1:19" s="52" customFormat="1" ht="17.100000000000001" customHeight="1">
      <c r="A19" s="147"/>
      <c r="B19" s="119"/>
      <c r="C19" s="579"/>
      <c r="D19" s="565"/>
      <c r="E19" s="566"/>
      <c r="F19" s="580"/>
      <c r="G19" s="581"/>
      <c r="H19" s="582"/>
      <c r="I19" s="136" t="s">
        <v>479</v>
      </c>
      <c r="J19" s="293">
        <v>3040000</v>
      </c>
      <c r="K19" s="116" t="s">
        <v>245</v>
      </c>
      <c r="L19" s="137" t="s">
        <v>251</v>
      </c>
      <c r="M19" s="116">
        <v>5</v>
      </c>
      <c r="N19" s="116" t="s">
        <v>255</v>
      </c>
      <c r="O19" s="138" t="s">
        <v>257</v>
      </c>
      <c r="P19" s="293">
        <f>J19*M19</f>
        <v>15200000</v>
      </c>
      <c r="Q19" s="17" t="s">
        <v>245</v>
      </c>
      <c r="S19" s="51"/>
    </row>
    <row r="20" spans="1:19" s="52" customFormat="1" ht="17.100000000000001" customHeight="1">
      <c r="A20" s="147"/>
      <c r="B20" s="119"/>
      <c r="C20" s="388" t="s">
        <v>140</v>
      </c>
      <c r="D20" s="560">
        <v>1210</v>
      </c>
      <c r="E20" s="561">
        <f>P20/1000</f>
        <v>1210</v>
      </c>
      <c r="F20" s="571"/>
      <c r="G20" s="577">
        <f>E20-D20</f>
        <v>0</v>
      </c>
      <c r="H20" s="578">
        <f>G20/D20*100</f>
        <v>0</v>
      </c>
      <c r="I20" s="125"/>
      <c r="J20" s="126"/>
      <c r="K20" s="128"/>
      <c r="L20" s="222"/>
      <c r="M20" s="152" t="s">
        <v>253</v>
      </c>
      <c r="N20" s="152"/>
      <c r="O20" s="152"/>
      <c r="P20" s="259">
        <f>SUM(P21:P21)</f>
        <v>1210000</v>
      </c>
      <c r="Q20" s="129" t="s">
        <v>245</v>
      </c>
      <c r="S20" s="51"/>
    </row>
    <row r="21" spans="1:19" s="52" customFormat="1" ht="17.100000000000001" customHeight="1">
      <c r="A21" s="147"/>
      <c r="B21" s="119"/>
      <c r="C21" s="387"/>
      <c r="D21" s="565"/>
      <c r="E21" s="566"/>
      <c r="F21" s="571"/>
      <c r="G21" s="581"/>
      <c r="H21" s="582"/>
      <c r="I21" s="136" t="s">
        <v>513</v>
      </c>
      <c r="J21" s="114">
        <v>605000</v>
      </c>
      <c r="K21" s="116" t="s">
        <v>245</v>
      </c>
      <c r="L21" s="137" t="s">
        <v>251</v>
      </c>
      <c r="M21" s="116">
        <v>2</v>
      </c>
      <c r="N21" s="116" t="s">
        <v>255</v>
      </c>
      <c r="O21" s="138" t="s">
        <v>289</v>
      </c>
      <c r="P21" s="293">
        <f>J21*M21</f>
        <v>1210000</v>
      </c>
      <c r="Q21" s="17" t="s">
        <v>245</v>
      </c>
      <c r="S21" s="51"/>
    </row>
    <row r="22" spans="1:19" s="52" customFormat="1" ht="18.95" customHeight="1">
      <c r="A22" s="439" t="s">
        <v>146</v>
      </c>
      <c r="B22" s="449" t="s">
        <v>265</v>
      </c>
      <c r="C22" s="440"/>
      <c r="D22" s="583">
        <f>SUM(D23)</f>
        <v>17000</v>
      </c>
      <c r="E22" s="584">
        <f>SUM(E23)</f>
        <v>8380</v>
      </c>
      <c r="F22" s="585">
        <f>SUM(F23)</f>
        <v>12773472</v>
      </c>
      <c r="G22" s="586">
        <f>+E22-D22</f>
        <v>-8620</v>
      </c>
      <c r="H22" s="587">
        <f>+G22/D22*100</f>
        <v>-50.705882352941181</v>
      </c>
      <c r="I22" s="250"/>
      <c r="J22" s="250"/>
      <c r="K22" s="251"/>
      <c r="L22" s="251"/>
      <c r="M22" s="250"/>
      <c r="N22" s="250"/>
      <c r="O22" s="250"/>
      <c r="P22" s="588">
        <f>P23</f>
        <v>8380000</v>
      </c>
      <c r="Q22" s="410" t="s">
        <v>245</v>
      </c>
      <c r="S22" s="51"/>
    </row>
    <row r="23" spans="1:19" s="52" customFormat="1" ht="17.100000000000001" customHeight="1">
      <c r="A23" s="147"/>
      <c r="B23" s="106" t="s">
        <v>146</v>
      </c>
      <c r="C23" s="392" t="s">
        <v>258</v>
      </c>
      <c r="D23" s="589">
        <f>SUM(D24)</f>
        <v>17000</v>
      </c>
      <c r="E23" s="590">
        <f>SUM(E24)</f>
        <v>8380</v>
      </c>
      <c r="F23" s="591">
        <f>SUM(F24:F98)</f>
        <v>12773472</v>
      </c>
      <c r="G23" s="592">
        <f>+E23-D23</f>
        <v>-8620</v>
      </c>
      <c r="H23" s="557">
        <f>+G23/D23*100</f>
        <v>-50.705882352941181</v>
      </c>
      <c r="I23" s="115"/>
      <c r="J23" s="115"/>
      <c r="K23" s="116"/>
      <c r="L23" s="116"/>
      <c r="M23" s="115"/>
      <c r="N23" s="115"/>
      <c r="O23" s="115"/>
      <c r="P23" s="200">
        <f>P24</f>
        <v>8380000</v>
      </c>
      <c r="Q23" s="17" t="s">
        <v>245</v>
      </c>
      <c r="S23" s="51"/>
    </row>
    <row r="24" spans="1:19" s="52" customFormat="1" ht="17.100000000000001" customHeight="1">
      <c r="A24" s="147"/>
      <c r="B24" s="119"/>
      <c r="C24" s="388" t="s">
        <v>102</v>
      </c>
      <c r="D24" s="560">
        <v>17000</v>
      </c>
      <c r="E24" s="561">
        <f>+P24/1000</f>
        <v>8380</v>
      </c>
      <c r="F24" s="576">
        <v>10450</v>
      </c>
      <c r="G24" s="577">
        <f>+E24-D24</f>
        <v>-8620</v>
      </c>
      <c r="H24" s="578">
        <f>+G24/D24*100</f>
        <v>-50.705882352941181</v>
      </c>
      <c r="I24" s="593"/>
      <c r="J24" s="594"/>
      <c r="K24" s="128"/>
      <c r="L24" s="128"/>
      <c r="M24" s="595" t="s">
        <v>253</v>
      </c>
      <c r="N24" s="595"/>
      <c r="O24" s="595"/>
      <c r="P24" s="596">
        <f>SUM(P25:P30)</f>
        <v>8380000</v>
      </c>
      <c r="Q24" s="129" t="s">
        <v>245</v>
      </c>
      <c r="S24" s="51"/>
    </row>
    <row r="25" spans="1:19" s="52" customFormat="1" ht="17.100000000000001" customHeight="1">
      <c r="A25" s="91"/>
      <c r="B25" s="119"/>
      <c r="C25" s="387"/>
      <c r="D25" s="565"/>
      <c r="E25" s="566"/>
      <c r="F25" s="580"/>
      <c r="G25" s="581"/>
      <c r="H25" s="582"/>
      <c r="I25" s="30" t="s">
        <v>15</v>
      </c>
      <c r="J25" s="19">
        <v>10000</v>
      </c>
      <c r="K25" s="20" t="s">
        <v>245</v>
      </c>
      <c r="L25" s="21" t="s">
        <v>251</v>
      </c>
      <c r="M25" s="20">
        <v>103</v>
      </c>
      <c r="N25" s="20" t="s">
        <v>287</v>
      </c>
      <c r="O25" s="22" t="s">
        <v>257</v>
      </c>
      <c r="P25" s="19">
        <f t="shared" ref="P25:P28" si="1">SUM(J25*M25)</f>
        <v>1030000</v>
      </c>
      <c r="Q25" s="23" t="s">
        <v>245</v>
      </c>
      <c r="S25" s="51"/>
    </row>
    <row r="26" spans="1:19" s="52" customFormat="1" ht="17.100000000000001" customHeight="1">
      <c r="A26" s="147"/>
      <c r="B26" s="119"/>
      <c r="C26" s="387"/>
      <c r="D26" s="565"/>
      <c r="E26" s="566"/>
      <c r="F26" s="580"/>
      <c r="G26" s="581"/>
      <c r="H26" s="582"/>
      <c r="I26" s="30" t="s">
        <v>536</v>
      </c>
      <c r="J26" s="19">
        <v>0</v>
      </c>
      <c r="K26" s="20" t="s">
        <v>245</v>
      </c>
      <c r="L26" s="21" t="s">
        <v>251</v>
      </c>
      <c r="M26" s="20">
        <v>0</v>
      </c>
      <c r="N26" s="20" t="s">
        <v>287</v>
      </c>
      <c r="O26" s="22" t="s">
        <v>257</v>
      </c>
      <c r="P26" s="19">
        <f t="shared" si="1"/>
        <v>0</v>
      </c>
      <c r="Q26" s="23" t="s">
        <v>245</v>
      </c>
      <c r="S26" s="51"/>
    </row>
    <row r="27" spans="1:19" s="52" customFormat="1" ht="17.100000000000001" customHeight="1">
      <c r="A27" s="91"/>
      <c r="B27" s="106"/>
      <c r="C27" s="392"/>
      <c r="D27" s="597"/>
      <c r="E27" s="598"/>
      <c r="F27" s="580"/>
      <c r="G27" s="599"/>
      <c r="H27" s="600"/>
      <c r="I27" s="30" t="s">
        <v>423</v>
      </c>
      <c r="J27" s="19">
        <v>0</v>
      </c>
      <c r="K27" s="20" t="s">
        <v>245</v>
      </c>
      <c r="L27" s="21" t="s">
        <v>251</v>
      </c>
      <c r="M27" s="20">
        <v>0</v>
      </c>
      <c r="N27" s="20" t="s">
        <v>287</v>
      </c>
      <c r="O27" s="22" t="s">
        <v>257</v>
      </c>
      <c r="P27" s="19">
        <f t="shared" si="1"/>
        <v>0</v>
      </c>
      <c r="Q27" s="23" t="s">
        <v>245</v>
      </c>
      <c r="S27" s="51"/>
    </row>
    <row r="28" spans="1:19" s="52" customFormat="1" ht="17.100000000000001" customHeight="1">
      <c r="A28" s="147"/>
      <c r="B28" s="119"/>
      <c r="C28" s="601"/>
      <c r="D28" s="597"/>
      <c r="E28" s="598"/>
      <c r="F28" s="580"/>
      <c r="G28" s="599"/>
      <c r="H28" s="600"/>
      <c r="I28" s="30" t="s">
        <v>313</v>
      </c>
      <c r="J28" s="19">
        <v>0</v>
      </c>
      <c r="K28" s="20" t="s">
        <v>245</v>
      </c>
      <c r="L28" s="21" t="s">
        <v>251</v>
      </c>
      <c r="M28" s="20">
        <v>80</v>
      </c>
      <c r="N28" s="20" t="s">
        <v>287</v>
      </c>
      <c r="O28" s="22" t="s">
        <v>257</v>
      </c>
      <c r="P28" s="19">
        <f t="shared" si="1"/>
        <v>0</v>
      </c>
      <c r="Q28" s="23" t="s">
        <v>245</v>
      </c>
      <c r="S28" s="51"/>
    </row>
    <row r="29" spans="1:19" s="52" customFormat="1" ht="17.100000000000001" customHeight="1">
      <c r="A29" s="147"/>
      <c r="B29" s="119"/>
      <c r="C29" s="601"/>
      <c r="D29" s="597"/>
      <c r="E29" s="598"/>
      <c r="F29" s="580"/>
      <c r="G29" s="599"/>
      <c r="H29" s="600"/>
      <c r="I29" s="30" t="s">
        <v>9</v>
      </c>
      <c r="J29" s="19">
        <v>7350000</v>
      </c>
      <c r="K29" s="20" t="s">
        <v>245</v>
      </c>
      <c r="L29" s="21" t="s">
        <v>251</v>
      </c>
      <c r="M29" s="20">
        <v>1</v>
      </c>
      <c r="N29" s="20" t="s">
        <v>255</v>
      </c>
      <c r="O29" s="22" t="s">
        <v>257</v>
      </c>
      <c r="P29" s="19">
        <f>SUM(J29*M29)</f>
        <v>7350000</v>
      </c>
      <c r="Q29" s="23" t="s">
        <v>245</v>
      </c>
      <c r="S29" s="51"/>
    </row>
    <row r="30" spans="1:19" s="52" customFormat="1" ht="17.100000000000001" customHeight="1">
      <c r="A30" s="211"/>
      <c r="B30" s="177"/>
      <c r="C30" s="602"/>
      <c r="D30" s="603"/>
      <c r="E30" s="604"/>
      <c r="F30" s="605"/>
      <c r="G30" s="606"/>
      <c r="H30" s="607"/>
      <c r="I30" s="24" t="s">
        <v>492</v>
      </c>
      <c r="J30" s="25">
        <v>0</v>
      </c>
      <c r="K30" s="26" t="s">
        <v>245</v>
      </c>
      <c r="L30" s="27" t="s">
        <v>251</v>
      </c>
      <c r="M30" s="26">
        <v>1</v>
      </c>
      <c r="N30" s="26" t="s">
        <v>255</v>
      </c>
      <c r="O30" s="28" t="s">
        <v>257</v>
      </c>
      <c r="P30" s="25">
        <f>SUM(J30*M30)</f>
        <v>0</v>
      </c>
      <c r="Q30" s="29" t="s">
        <v>245</v>
      </c>
      <c r="S30" s="51" t="s">
        <v>279</v>
      </c>
    </row>
    <row r="31" spans="1:19" s="613" customFormat="1" ht="18.95" hidden="1" customHeight="1">
      <c r="A31" s="439" t="s">
        <v>65</v>
      </c>
      <c r="B31" s="449" t="s">
        <v>265</v>
      </c>
      <c r="C31" s="440"/>
      <c r="D31" s="583">
        <f t="shared" ref="D31:F32" si="2">SUM(D32)</f>
        <v>0</v>
      </c>
      <c r="E31" s="584">
        <f t="shared" si="2"/>
        <v>0</v>
      </c>
      <c r="F31" s="608">
        <f t="shared" si="2"/>
        <v>2302</v>
      </c>
      <c r="G31" s="586">
        <f t="shared" ref="G31:G36" si="3">+E31-D31</f>
        <v>0</v>
      </c>
      <c r="H31" s="587">
        <v>0</v>
      </c>
      <c r="I31" s="609"/>
      <c r="J31" s="609"/>
      <c r="K31" s="610"/>
      <c r="L31" s="610"/>
      <c r="M31" s="609"/>
      <c r="N31" s="609"/>
      <c r="O31" s="609"/>
      <c r="P31" s="611">
        <f>P32</f>
        <v>0</v>
      </c>
      <c r="Q31" s="612" t="s">
        <v>245</v>
      </c>
      <c r="S31" s="614"/>
    </row>
    <row r="32" spans="1:19" s="52" customFormat="1" ht="17.100000000000001" hidden="1" customHeight="1">
      <c r="A32" s="147"/>
      <c r="B32" s="615" t="s">
        <v>65</v>
      </c>
      <c r="C32" s="616" t="s">
        <v>258</v>
      </c>
      <c r="D32" s="617">
        <f>D33</f>
        <v>0</v>
      </c>
      <c r="E32" s="618">
        <f t="shared" si="2"/>
        <v>0</v>
      </c>
      <c r="F32" s="619">
        <f t="shared" si="2"/>
        <v>2302</v>
      </c>
      <c r="G32" s="556">
        <f t="shared" si="3"/>
        <v>0</v>
      </c>
      <c r="H32" s="557">
        <v>0</v>
      </c>
      <c r="I32" s="620"/>
      <c r="J32" s="621"/>
      <c r="K32" s="622"/>
      <c r="L32" s="622"/>
      <c r="M32" s="621"/>
      <c r="N32" s="621"/>
      <c r="O32" s="621"/>
      <c r="P32" s="623">
        <f>P33</f>
        <v>0</v>
      </c>
      <c r="Q32" s="624" t="s">
        <v>245</v>
      </c>
      <c r="S32" s="51"/>
    </row>
    <row r="33" spans="1:21" s="52" customFormat="1" ht="17.100000000000001" hidden="1" customHeight="1">
      <c r="A33" s="147"/>
      <c r="B33" s="119"/>
      <c r="C33" s="323" t="s">
        <v>65</v>
      </c>
      <c r="D33" s="589">
        <v>0</v>
      </c>
      <c r="E33" s="625">
        <f>+P33/1000</f>
        <v>0</v>
      </c>
      <c r="F33" s="567">
        <v>2302</v>
      </c>
      <c r="G33" s="556">
        <f t="shared" si="3"/>
        <v>0</v>
      </c>
      <c r="H33" s="557">
        <v>0</v>
      </c>
      <c r="I33" s="136" t="s">
        <v>469</v>
      </c>
      <c r="J33" s="293">
        <v>0</v>
      </c>
      <c r="K33" s="116" t="s">
        <v>245</v>
      </c>
      <c r="L33" s="137" t="s">
        <v>251</v>
      </c>
      <c r="M33" s="116">
        <v>1</v>
      </c>
      <c r="N33" s="116" t="s">
        <v>255</v>
      </c>
      <c r="O33" s="116" t="s">
        <v>257</v>
      </c>
      <c r="P33" s="293">
        <f>J33*M33</f>
        <v>0</v>
      </c>
      <c r="Q33" s="17" t="s">
        <v>245</v>
      </c>
      <c r="S33" s="51"/>
    </row>
    <row r="34" spans="1:21" s="52" customFormat="1" ht="18.95" customHeight="1">
      <c r="A34" s="626" t="s">
        <v>100</v>
      </c>
      <c r="B34" s="449" t="s">
        <v>265</v>
      </c>
      <c r="C34" s="440"/>
      <c r="D34" s="583">
        <f t="shared" ref="D34:F35" si="4">SUM(D35)</f>
        <v>205000</v>
      </c>
      <c r="E34" s="584">
        <f t="shared" si="4"/>
        <v>205000</v>
      </c>
      <c r="F34" s="608">
        <f t="shared" si="4"/>
        <v>56700</v>
      </c>
      <c r="G34" s="586">
        <f t="shared" si="3"/>
        <v>0</v>
      </c>
      <c r="H34" s="587">
        <f>+G34/D34*100</f>
        <v>0</v>
      </c>
      <c r="I34" s="627"/>
      <c r="J34" s="627"/>
      <c r="K34" s="628"/>
      <c r="L34" s="628"/>
      <c r="M34" s="627"/>
      <c r="N34" s="627"/>
      <c r="O34" s="627"/>
      <c r="P34" s="588">
        <f>P35</f>
        <v>205000000</v>
      </c>
      <c r="Q34" s="410" t="s">
        <v>245</v>
      </c>
      <c r="S34" s="51"/>
    </row>
    <row r="35" spans="1:21" s="52" customFormat="1" ht="17.100000000000001" customHeight="1">
      <c r="A35" s="147"/>
      <c r="B35" s="615" t="s">
        <v>100</v>
      </c>
      <c r="C35" s="243" t="s">
        <v>258</v>
      </c>
      <c r="D35" s="617">
        <f>D36</f>
        <v>205000</v>
      </c>
      <c r="E35" s="618">
        <f t="shared" si="4"/>
        <v>205000</v>
      </c>
      <c r="F35" s="619">
        <f t="shared" si="4"/>
        <v>56700</v>
      </c>
      <c r="G35" s="556">
        <f t="shared" si="3"/>
        <v>0</v>
      </c>
      <c r="H35" s="557">
        <f>+G35/D35*100</f>
        <v>0</v>
      </c>
      <c r="I35" s="629"/>
      <c r="J35" s="250"/>
      <c r="K35" s="251"/>
      <c r="L35" s="251"/>
      <c r="M35" s="250"/>
      <c r="N35" s="250"/>
      <c r="O35" s="250"/>
      <c r="P35" s="305">
        <f>SUM(P36)</f>
        <v>205000000</v>
      </c>
      <c r="Q35" s="117" t="s">
        <v>245</v>
      </c>
      <c r="S35" s="51"/>
    </row>
    <row r="36" spans="1:21" s="52" customFormat="1" ht="17.100000000000001" customHeight="1">
      <c r="A36" s="147"/>
      <c r="B36" s="392"/>
      <c r="C36" s="388" t="s">
        <v>137</v>
      </c>
      <c r="D36" s="560">
        <v>205000</v>
      </c>
      <c r="E36" s="561">
        <f>+P36/1000</f>
        <v>205000</v>
      </c>
      <c r="F36" s="576">
        <v>56700</v>
      </c>
      <c r="G36" s="563">
        <f t="shared" si="3"/>
        <v>0</v>
      </c>
      <c r="H36" s="630">
        <f>+G36/D36*100</f>
        <v>0</v>
      </c>
      <c r="I36" s="631"/>
      <c r="J36" s="115"/>
      <c r="K36" s="116"/>
      <c r="L36" s="116"/>
      <c r="M36" s="115" t="s">
        <v>253</v>
      </c>
      <c r="N36" s="115"/>
      <c r="O36" s="115"/>
      <c r="P36" s="200">
        <f>SUM(P37:P38)</f>
        <v>205000000</v>
      </c>
      <c r="Q36" s="17" t="s">
        <v>245</v>
      </c>
      <c r="S36" s="51"/>
    </row>
    <row r="37" spans="1:21" s="52" customFormat="1" ht="17.100000000000001" customHeight="1">
      <c r="A37" s="147"/>
      <c r="B37" s="392"/>
      <c r="C37" s="387"/>
      <c r="D37" s="565"/>
      <c r="E37" s="566"/>
      <c r="F37" s="580"/>
      <c r="G37" s="568"/>
      <c r="H37" s="632"/>
      <c r="I37" s="136" t="s">
        <v>444</v>
      </c>
      <c r="J37" s="114">
        <v>75000000</v>
      </c>
      <c r="K37" s="116" t="s">
        <v>245</v>
      </c>
      <c r="L37" s="137" t="s">
        <v>251</v>
      </c>
      <c r="M37" s="116">
        <v>1</v>
      </c>
      <c r="N37" s="116" t="s">
        <v>255</v>
      </c>
      <c r="O37" s="116" t="s">
        <v>257</v>
      </c>
      <c r="P37" s="114">
        <f>+M37*J37</f>
        <v>75000000</v>
      </c>
      <c r="Q37" s="17" t="s">
        <v>245</v>
      </c>
      <c r="S37" s="51"/>
    </row>
    <row r="38" spans="1:21" s="52" customFormat="1" ht="17.100000000000001" customHeight="1">
      <c r="A38" s="147"/>
      <c r="B38" s="392"/>
      <c r="C38" s="389"/>
      <c r="D38" s="572"/>
      <c r="E38" s="573"/>
      <c r="F38" s="633"/>
      <c r="G38" s="574"/>
      <c r="H38" s="634"/>
      <c r="I38" s="184" t="s">
        <v>171</v>
      </c>
      <c r="J38" s="114">
        <v>130000000</v>
      </c>
      <c r="K38" s="116" t="s">
        <v>245</v>
      </c>
      <c r="L38" s="137" t="s">
        <v>251</v>
      </c>
      <c r="M38" s="116">
        <v>1</v>
      </c>
      <c r="N38" s="116" t="s">
        <v>255</v>
      </c>
      <c r="O38" s="116" t="s">
        <v>257</v>
      </c>
      <c r="P38" s="114">
        <f>+M38*J38</f>
        <v>130000000</v>
      </c>
      <c r="Q38" s="17" t="s">
        <v>245</v>
      </c>
      <c r="S38" s="51"/>
    </row>
    <row r="39" spans="1:21" s="52" customFormat="1" ht="18.95" customHeight="1">
      <c r="A39" s="439" t="s">
        <v>263</v>
      </c>
      <c r="B39" s="440" t="s">
        <v>265</v>
      </c>
      <c r="C39" s="474"/>
      <c r="D39" s="583">
        <f>+D40+D58</f>
        <v>1506396</v>
      </c>
      <c r="E39" s="584">
        <f>+E40+E58</f>
        <v>1507308.2150000001</v>
      </c>
      <c r="F39" s="585">
        <f>+F40+F58</f>
        <v>1336159</v>
      </c>
      <c r="G39" s="586">
        <f>E39-D39</f>
        <v>912.21500000008382</v>
      </c>
      <c r="H39" s="587">
        <f>+G39/D39*100</f>
        <v>6.0556122029007231E-2</v>
      </c>
      <c r="I39" s="635"/>
      <c r="J39" s="635"/>
      <c r="K39" s="636"/>
      <c r="L39" s="422"/>
      <c r="M39" s="635"/>
      <c r="N39" s="635"/>
      <c r="O39" s="635"/>
      <c r="P39" s="637">
        <f>SUM(P40,P58)</f>
        <v>1507308215</v>
      </c>
      <c r="Q39" s="638" t="s">
        <v>245</v>
      </c>
      <c r="S39" s="51"/>
    </row>
    <row r="40" spans="1:21" s="52" customFormat="1" ht="17.100000000000001" customHeight="1">
      <c r="A40" s="147"/>
      <c r="B40" s="106" t="s">
        <v>280</v>
      </c>
      <c r="C40" s="392" t="s">
        <v>258</v>
      </c>
      <c r="D40" s="589">
        <f>SUM(D41:D54)</f>
        <v>885436</v>
      </c>
      <c r="E40" s="625">
        <f>SUM(E41:E57)</f>
        <v>894148.21500000008</v>
      </c>
      <c r="F40" s="633">
        <f>SUM(F41:F54)</f>
        <v>711605</v>
      </c>
      <c r="G40" s="556">
        <f>E40-D40</f>
        <v>8712.2150000000838</v>
      </c>
      <c r="H40" s="557">
        <f>+G40/D40*100</f>
        <v>0.98394632700726914</v>
      </c>
      <c r="I40" s="18"/>
      <c r="J40" s="18"/>
      <c r="K40" s="639"/>
      <c r="L40" s="20"/>
      <c r="M40" s="18"/>
      <c r="N40" s="18"/>
      <c r="O40" s="18"/>
      <c r="P40" s="640">
        <f>SUM(P41,P43,P48,P53)</f>
        <v>894148215</v>
      </c>
      <c r="Q40" s="23" t="s">
        <v>245</v>
      </c>
      <c r="S40" s="51"/>
    </row>
    <row r="41" spans="1:21" s="52" customFormat="1" ht="17.100000000000001" customHeight="1">
      <c r="A41" s="147"/>
      <c r="B41" s="106" t="s">
        <v>263</v>
      </c>
      <c r="C41" s="386" t="s">
        <v>303</v>
      </c>
      <c r="D41" s="560">
        <v>357650</v>
      </c>
      <c r="E41" s="561">
        <f>P41/1000</f>
        <v>357650</v>
      </c>
      <c r="F41" s="576">
        <v>480000</v>
      </c>
      <c r="G41" s="577">
        <f>+E41-D41</f>
        <v>0</v>
      </c>
      <c r="H41" s="578">
        <f>+G41/D41*100</f>
        <v>0</v>
      </c>
      <c r="I41" s="412"/>
      <c r="J41" s="641"/>
      <c r="K41" s="642"/>
      <c r="L41" s="643"/>
      <c r="M41" s="643" t="s">
        <v>253</v>
      </c>
      <c r="N41" s="643"/>
      <c r="O41" s="643"/>
      <c r="P41" s="641">
        <f>SUM(P42:P42)</f>
        <v>357650000</v>
      </c>
      <c r="Q41" s="405" t="s">
        <v>245</v>
      </c>
      <c r="S41" s="51"/>
    </row>
    <row r="42" spans="1:21" s="52" customFormat="1" ht="17.100000000000001" customHeight="1">
      <c r="A42" s="147"/>
      <c r="B42" s="119"/>
      <c r="C42" s="387"/>
      <c r="D42" s="565"/>
      <c r="E42" s="566"/>
      <c r="F42" s="605"/>
      <c r="G42" s="581"/>
      <c r="H42" s="582"/>
      <c r="I42" s="644" t="s">
        <v>89</v>
      </c>
      <c r="J42" s="645">
        <v>178825000</v>
      </c>
      <c r="K42" s="20" t="s">
        <v>245</v>
      </c>
      <c r="L42" s="21" t="s">
        <v>251</v>
      </c>
      <c r="M42" s="20">
        <v>2</v>
      </c>
      <c r="N42" s="20" t="s">
        <v>255</v>
      </c>
      <c r="O42" s="22" t="s">
        <v>257</v>
      </c>
      <c r="P42" s="19">
        <f>SUM(J42*M42)</f>
        <v>357650000</v>
      </c>
      <c r="Q42" s="23" t="s">
        <v>245</v>
      </c>
      <c r="S42" s="51"/>
    </row>
    <row r="43" spans="1:21" s="52" customFormat="1" ht="17.100000000000001" customHeight="1">
      <c r="A43" s="147"/>
      <c r="B43" s="119"/>
      <c r="C43" s="386" t="s">
        <v>329</v>
      </c>
      <c r="D43" s="560">
        <v>51320</v>
      </c>
      <c r="E43" s="561">
        <f>P43/1000</f>
        <v>51320</v>
      </c>
      <c r="F43" s="576">
        <v>79390</v>
      </c>
      <c r="G43" s="577">
        <f>+E43-D43</f>
        <v>0</v>
      </c>
      <c r="H43" s="578">
        <f>+G43/D43*100</f>
        <v>0</v>
      </c>
      <c r="I43" s="646"/>
      <c r="J43" s="126"/>
      <c r="K43" s="128"/>
      <c r="L43" s="128"/>
      <c r="M43" s="152" t="s">
        <v>253</v>
      </c>
      <c r="N43" s="152"/>
      <c r="O43" s="152"/>
      <c r="P43" s="126">
        <f>SUM(P44:P47)</f>
        <v>51320000</v>
      </c>
      <c r="Q43" s="129" t="s">
        <v>245</v>
      </c>
      <c r="S43" s="51"/>
    </row>
    <row r="44" spans="1:21" s="52" customFormat="1" ht="17.100000000000001" customHeight="1">
      <c r="A44" s="147"/>
      <c r="B44" s="119"/>
      <c r="C44" s="387"/>
      <c r="D44" s="565"/>
      <c r="E44" s="566"/>
      <c r="F44" s="580"/>
      <c r="G44" s="581"/>
      <c r="H44" s="582"/>
      <c r="I44" s="647" t="s">
        <v>343</v>
      </c>
      <c r="J44" s="648">
        <v>3500000</v>
      </c>
      <c r="K44" s="649" t="s">
        <v>245</v>
      </c>
      <c r="L44" s="650" t="s">
        <v>251</v>
      </c>
      <c r="M44" s="649">
        <v>12</v>
      </c>
      <c r="N44" s="649" t="s">
        <v>246</v>
      </c>
      <c r="O44" s="651" t="s">
        <v>257</v>
      </c>
      <c r="P44" s="648">
        <f>SUM(J44*M44)</f>
        <v>42000000</v>
      </c>
      <c r="Q44" s="652" t="s">
        <v>245</v>
      </c>
      <c r="R44" s="51"/>
      <c r="S44" s="266"/>
      <c r="T44" s="266"/>
    </row>
    <row r="45" spans="1:21" s="52" customFormat="1" ht="17.100000000000001" customHeight="1">
      <c r="A45" s="147"/>
      <c r="B45" s="119"/>
      <c r="C45" s="387"/>
      <c r="D45" s="565"/>
      <c r="E45" s="566"/>
      <c r="F45" s="633"/>
      <c r="G45" s="581"/>
      <c r="H45" s="582"/>
      <c r="I45" s="644" t="s">
        <v>490</v>
      </c>
      <c r="J45" s="19">
        <v>600000</v>
      </c>
      <c r="K45" s="20" t="s">
        <v>245</v>
      </c>
      <c r="L45" s="21" t="s">
        <v>251</v>
      </c>
      <c r="M45" s="20">
        <v>12</v>
      </c>
      <c r="N45" s="20" t="s">
        <v>246</v>
      </c>
      <c r="O45" s="22" t="s">
        <v>257</v>
      </c>
      <c r="P45" s="19">
        <f>SUM(J45*M45)</f>
        <v>7200000</v>
      </c>
      <c r="Q45" s="23" t="s">
        <v>245</v>
      </c>
      <c r="R45" s="51"/>
      <c r="S45" s="266"/>
      <c r="T45" s="266"/>
    </row>
    <row r="46" spans="1:21" s="52" customFormat="1" ht="17.100000000000001" customHeight="1">
      <c r="A46" s="147"/>
      <c r="B46" s="119"/>
      <c r="C46" s="387"/>
      <c r="D46" s="565"/>
      <c r="E46" s="566"/>
      <c r="F46" s="633"/>
      <c r="G46" s="581"/>
      <c r="H46" s="582"/>
      <c r="I46" s="644" t="s">
        <v>495</v>
      </c>
      <c r="J46" s="19">
        <v>1000000</v>
      </c>
      <c r="K46" s="20" t="s">
        <v>245</v>
      </c>
      <c r="L46" s="21" t="s">
        <v>251</v>
      </c>
      <c r="M46" s="20">
        <v>2</v>
      </c>
      <c r="N46" s="20" t="s">
        <v>255</v>
      </c>
      <c r="O46" s="22" t="s">
        <v>257</v>
      </c>
      <c r="P46" s="19">
        <f>SUM(J46*M46)</f>
        <v>2000000</v>
      </c>
      <c r="Q46" s="23" t="s">
        <v>245</v>
      </c>
      <c r="R46" s="653"/>
      <c r="S46" s="654"/>
      <c r="T46" s="654"/>
      <c r="U46" s="655"/>
    </row>
    <row r="47" spans="1:21" s="52" customFormat="1" ht="17.100000000000001" customHeight="1">
      <c r="A47" s="147"/>
      <c r="B47" s="119"/>
      <c r="C47" s="389"/>
      <c r="D47" s="572"/>
      <c r="E47" s="573"/>
      <c r="F47" s="656"/>
      <c r="G47" s="657"/>
      <c r="H47" s="658"/>
      <c r="I47" s="659" t="s">
        <v>466</v>
      </c>
      <c r="J47" s="25">
        <v>10000</v>
      </c>
      <c r="K47" s="26" t="s">
        <v>245</v>
      </c>
      <c r="L47" s="27" t="s">
        <v>251</v>
      </c>
      <c r="M47" s="26">
        <v>12</v>
      </c>
      <c r="N47" s="26" t="s">
        <v>255</v>
      </c>
      <c r="O47" s="28" t="s">
        <v>257</v>
      </c>
      <c r="P47" s="25">
        <f>SUM(J47*M47)</f>
        <v>120000</v>
      </c>
      <c r="Q47" s="29" t="s">
        <v>245</v>
      </c>
      <c r="R47" s="653"/>
      <c r="S47" s="654"/>
      <c r="T47" s="655"/>
      <c r="U47" s="655"/>
    </row>
    <row r="48" spans="1:21" s="52" customFormat="1" ht="17.100000000000001" customHeight="1">
      <c r="A48" s="147"/>
      <c r="B48" s="119"/>
      <c r="C48" s="388" t="s">
        <v>92</v>
      </c>
      <c r="D48" s="560">
        <v>266466</v>
      </c>
      <c r="E48" s="561">
        <f>+P48/1000</f>
        <v>279178.21500000003</v>
      </c>
      <c r="F48" s="576">
        <v>90435</v>
      </c>
      <c r="G48" s="577">
        <f>+E48-D48</f>
        <v>12712.215000000026</v>
      </c>
      <c r="H48" s="578">
        <f>+G48/D48*100</f>
        <v>4.7706705545923409</v>
      </c>
      <c r="I48" s="412"/>
      <c r="J48" s="402"/>
      <c r="K48" s="643"/>
      <c r="L48" s="643"/>
      <c r="M48" s="295" t="s">
        <v>253</v>
      </c>
      <c r="N48" s="295"/>
      <c r="O48" s="295"/>
      <c r="P48" s="402">
        <f>SUM(P49:P52)</f>
        <v>279178215</v>
      </c>
      <c r="Q48" s="405" t="s">
        <v>245</v>
      </c>
      <c r="R48" s="655"/>
      <c r="S48" s="654"/>
      <c r="T48" s="655"/>
      <c r="U48" s="655"/>
    </row>
    <row r="49" spans="1:23" s="52" customFormat="1" ht="17.100000000000001" customHeight="1">
      <c r="A49" s="147"/>
      <c r="B49" s="119"/>
      <c r="C49" s="387"/>
      <c r="D49" s="565"/>
      <c r="E49" s="566"/>
      <c r="F49" s="580"/>
      <c r="G49" s="581"/>
      <c r="H49" s="582"/>
      <c r="I49" s="644" t="s">
        <v>521</v>
      </c>
      <c r="J49" s="19">
        <v>15000000</v>
      </c>
      <c r="K49" s="20" t="s">
        <v>245</v>
      </c>
      <c r="L49" s="21" t="s">
        <v>251</v>
      </c>
      <c r="M49" s="20">
        <v>12</v>
      </c>
      <c r="N49" s="20" t="s">
        <v>246</v>
      </c>
      <c r="O49" s="22" t="s">
        <v>257</v>
      </c>
      <c r="P49" s="19">
        <f>SUM(J49*M49)</f>
        <v>180000000</v>
      </c>
      <c r="Q49" s="23" t="s">
        <v>245</v>
      </c>
      <c r="R49" s="654"/>
      <c r="S49" s="654"/>
      <c r="T49" s="655"/>
      <c r="U49" s="655"/>
    </row>
    <row r="50" spans="1:23" s="52" customFormat="1" ht="17.100000000000001" customHeight="1">
      <c r="A50" s="147"/>
      <c r="B50" s="119"/>
      <c r="C50" s="387"/>
      <c r="D50" s="565"/>
      <c r="E50" s="566"/>
      <c r="F50" s="633"/>
      <c r="G50" s="581"/>
      <c r="H50" s="582"/>
      <c r="I50" s="644" t="s">
        <v>509</v>
      </c>
      <c r="J50" s="19">
        <v>13500000</v>
      </c>
      <c r="K50" s="20" t="s">
        <v>245</v>
      </c>
      <c r="L50" s="21" t="s">
        <v>251</v>
      </c>
      <c r="M50" s="20">
        <v>2</v>
      </c>
      <c r="N50" s="20" t="s">
        <v>255</v>
      </c>
      <c r="O50" s="22" t="s">
        <v>289</v>
      </c>
      <c r="P50" s="19">
        <f>SUM(J50*M50)</f>
        <v>27000000</v>
      </c>
      <c r="Q50" s="23" t="s">
        <v>245</v>
      </c>
      <c r="R50" s="660"/>
      <c r="S50" s="661"/>
      <c r="T50" s="661"/>
      <c r="U50" s="661"/>
    </row>
    <row r="51" spans="1:23" s="52" customFormat="1" ht="17.100000000000001" customHeight="1">
      <c r="A51" s="147"/>
      <c r="B51" s="119"/>
      <c r="C51" s="387"/>
      <c r="D51" s="565"/>
      <c r="E51" s="566"/>
      <c r="F51" s="633"/>
      <c r="G51" s="581"/>
      <c r="H51" s="582"/>
      <c r="I51" s="644" t="s">
        <v>327</v>
      </c>
      <c r="J51" s="19">
        <v>50000000</v>
      </c>
      <c r="K51" s="20" t="s">
        <v>245</v>
      </c>
      <c r="L51" s="21" t="s">
        <v>251</v>
      </c>
      <c r="M51" s="20">
        <v>1</v>
      </c>
      <c r="N51" s="20" t="s">
        <v>255</v>
      </c>
      <c r="O51" s="22" t="s">
        <v>289</v>
      </c>
      <c r="P51" s="19">
        <f>SUM(J51*M51)</f>
        <v>50000000</v>
      </c>
      <c r="Q51" s="23" t="s">
        <v>245</v>
      </c>
      <c r="R51" s="209"/>
      <c r="S51" s="662"/>
      <c r="T51" s="662"/>
      <c r="U51" s="662"/>
    </row>
    <row r="52" spans="1:23" s="52" customFormat="1" ht="17.100000000000001" customHeight="1">
      <c r="A52" s="147"/>
      <c r="B52" s="119"/>
      <c r="C52" s="389"/>
      <c r="D52" s="572"/>
      <c r="E52" s="573"/>
      <c r="F52" s="656"/>
      <c r="G52" s="657"/>
      <c r="H52" s="658"/>
      <c r="I52" s="659" t="s">
        <v>472</v>
      </c>
      <c r="J52" s="25">
        <v>22178215</v>
      </c>
      <c r="K52" s="20" t="s">
        <v>245</v>
      </c>
      <c r="L52" s="21" t="s">
        <v>251</v>
      </c>
      <c r="M52" s="20">
        <v>1</v>
      </c>
      <c r="N52" s="20" t="s">
        <v>255</v>
      </c>
      <c r="O52" s="22" t="s">
        <v>289</v>
      </c>
      <c r="P52" s="19">
        <f>SUM(J52*M52)</f>
        <v>22178215</v>
      </c>
      <c r="Q52" s="23" t="s">
        <v>245</v>
      </c>
      <c r="R52" s="209"/>
      <c r="S52" s="662"/>
      <c r="T52" s="662"/>
      <c r="U52" s="662"/>
    </row>
    <row r="53" spans="1:23" s="52" customFormat="1" ht="17.100000000000001" customHeight="1">
      <c r="A53" s="91"/>
      <c r="B53" s="106"/>
      <c r="C53" s="388" t="s">
        <v>131</v>
      </c>
      <c r="D53" s="560">
        <v>210000</v>
      </c>
      <c r="E53" s="663">
        <f>(P53/1000)</f>
        <v>206000</v>
      </c>
      <c r="F53" s="664">
        <v>61780</v>
      </c>
      <c r="G53" s="577">
        <f>+E53-D53</f>
        <v>-4000</v>
      </c>
      <c r="H53" s="578">
        <f>G53/D53*100</f>
        <v>-1.9047619047619049</v>
      </c>
      <c r="I53" s="665"/>
      <c r="J53" s="641"/>
      <c r="K53" s="643"/>
      <c r="L53" s="643"/>
      <c r="M53" s="295" t="s">
        <v>253</v>
      </c>
      <c r="N53" s="295"/>
      <c r="O53" s="295"/>
      <c r="P53" s="641">
        <f>SUM(P54:P57)</f>
        <v>206000000</v>
      </c>
      <c r="Q53" s="405" t="s">
        <v>245</v>
      </c>
      <c r="R53" s="655"/>
      <c r="S53" s="653"/>
      <c r="T53" s="655"/>
      <c r="U53" s="655"/>
    </row>
    <row r="54" spans="1:23" s="52" customFormat="1" ht="17.100000000000001" customHeight="1">
      <c r="A54" s="91"/>
      <c r="B54" s="106"/>
      <c r="C54" s="387"/>
      <c r="D54" s="565"/>
      <c r="E54" s="666"/>
      <c r="F54" s="633"/>
      <c r="G54" s="581"/>
      <c r="H54" s="582"/>
      <c r="I54" s="644" t="s">
        <v>438</v>
      </c>
      <c r="J54" s="19">
        <v>100000000</v>
      </c>
      <c r="K54" s="20" t="s">
        <v>245</v>
      </c>
      <c r="L54" s="21" t="s">
        <v>251</v>
      </c>
      <c r="M54" s="20">
        <v>1</v>
      </c>
      <c r="N54" s="20" t="s">
        <v>255</v>
      </c>
      <c r="O54" s="22" t="s">
        <v>257</v>
      </c>
      <c r="P54" s="19">
        <f>SUM(J54*M54)</f>
        <v>100000000</v>
      </c>
      <c r="Q54" s="23" t="s">
        <v>245</v>
      </c>
      <c r="S54" s="266"/>
    </row>
    <row r="55" spans="1:23" s="52" customFormat="1" ht="17.100000000000001" customHeight="1">
      <c r="A55" s="91"/>
      <c r="B55" s="106"/>
      <c r="C55" s="387"/>
      <c r="D55" s="565"/>
      <c r="E55" s="666"/>
      <c r="F55" s="633"/>
      <c r="G55" s="581"/>
      <c r="H55" s="582"/>
      <c r="I55" s="644" t="s">
        <v>328</v>
      </c>
      <c r="J55" s="19">
        <v>10000000</v>
      </c>
      <c r="K55" s="20" t="s">
        <v>245</v>
      </c>
      <c r="L55" s="21" t="s">
        <v>251</v>
      </c>
      <c r="M55" s="20">
        <v>1</v>
      </c>
      <c r="N55" s="20" t="s">
        <v>255</v>
      </c>
      <c r="O55" s="22" t="s">
        <v>257</v>
      </c>
      <c r="P55" s="19">
        <f>SUM(J55*M55)</f>
        <v>10000000</v>
      </c>
      <c r="Q55" s="23" t="s">
        <v>245</v>
      </c>
      <c r="S55" s="266"/>
    </row>
    <row r="56" spans="1:23" s="52" customFormat="1" ht="17.100000000000001" customHeight="1">
      <c r="A56" s="147"/>
      <c r="B56" s="119"/>
      <c r="C56" s="387"/>
      <c r="D56" s="565"/>
      <c r="E56" s="666"/>
      <c r="F56" s="633"/>
      <c r="G56" s="581"/>
      <c r="H56" s="582"/>
      <c r="I56" s="30" t="s">
        <v>366</v>
      </c>
      <c r="J56" s="19">
        <v>20000000</v>
      </c>
      <c r="K56" s="20" t="s">
        <v>245</v>
      </c>
      <c r="L56" s="21" t="s">
        <v>251</v>
      </c>
      <c r="M56" s="20">
        <v>3</v>
      </c>
      <c r="N56" s="20" t="s">
        <v>255</v>
      </c>
      <c r="O56" s="22" t="s">
        <v>257</v>
      </c>
      <c r="P56" s="19">
        <f>SUM(J56*M56)</f>
        <v>60000000</v>
      </c>
      <c r="Q56" s="23" t="s">
        <v>245</v>
      </c>
      <c r="R56" s="52" t="s">
        <v>0</v>
      </c>
      <c r="S56" s="266"/>
    </row>
    <row r="57" spans="1:23" s="52" customFormat="1" ht="17.100000000000001" customHeight="1" thickBot="1">
      <c r="A57" s="228"/>
      <c r="B57" s="667"/>
      <c r="C57" s="668"/>
      <c r="D57" s="669"/>
      <c r="E57" s="670"/>
      <c r="F57" s="671"/>
      <c r="G57" s="672"/>
      <c r="H57" s="673"/>
      <c r="I57" s="674" t="s">
        <v>468</v>
      </c>
      <c r="J57" s="675">
        <v>9000000</v>
      </c>
      <c r="K57" s="676" t="s">
        <v>245</v>
      </c>
      <c r="L57" s="677" t="s">
        <v>251</v>
      </c>
      <c r="M57" s="676">
        <v>4</v>
      </c>
      <c r="N57" s="676" t="s">
        <v>255</v>
      </c>
      <c r="O57" s="678" t="s">
        <v>257</v>
      </c>
      <c r="P57" s="675">
        <f>SUM(J57*M57)</f>
        <v>36000000</v>
      </c>
      <c r="Q57" s="679" t="s">
        <v>245</v>
      </c>
      <c r="S57" s="266"/>
    </row>
    <row r="58" spans="1:23" ht="17.100000000000001" customHeight="1">
      <c r="A58" s="91" t="s">
        <v>263</v>
      </c>
      <c r="B58" s="106" t="s">
        <v>278</v>
      </c>
      <c r="C58" s="392" t="s">
        <v>258</v>
      </c>
      <c r="D58" s="589">
        <f>SUM(D59:D70)</f>
        <v>620960</v>
      </c>
      <c r="E58" s="625">
        <f>SUM(E59:E70)</f>
        <v>613160</v>
      </c>
      <c r="F58" s="633">
        <f>SUM(F59:F70)</f>
        <v>624554</v>
      </c>
      <c r="G58" s="592">
        <f>+E58-D58</f>
        <v>-7800</v>
      </c>
      <c r="H58" s="680">
        <f>+G58/D58*100</f>
        <v>-1.2561195568152539</v>
      </c>
      <c r="I58" s="115"/>
      <c r="J58" s="115"/>
      <c r="K58" s="116"/>
      <c r="L58" s="116"/>
      <c r="M58" s="115"/>
      <c r="N58" s="115"/>
      <c r="O58" s="115"/>
      <c r="P58" s="200">
        <f>SUM(P59,P63)</f>
        <v>613160000</v>
      </c>
      <c r="Q58" s="17" t="s">
        <v>245</v>
      </c>
      <c r="S58" s="266"/>
      <c r="T58" s="52"/>
      <c r="U58" s="52"/>
      <c r="V58" s="52"/>
      <c r="W58" s="52"/>
    </row>
    <row r="59" spans="1:23" ht="17.100000000000001" customHeight="1">
      <c r="A59" s="147"/>
      <c r="B59" s="106" t="s">
        <v>263</v>
      </c>
      <c r="C59" s="681" t="s">
        <v>103</v>
      </c>
      <c r="D59" s="560">
        <v>54400</v>
      </c>
      <c r="E59" s="561">
        <f>+P59/1000</f>
        <v>40600</v>
      </c>
      <c r="F59" s="576">
        <v>72575</v>
      </c>
      <c r="G59" s="577">
        <f>+E59-D59</f>
        <v>-13800</v>
      </c>
      <c r="H59" s="630">
        <f>G59/D59*100</f>
        <v>-25.367647058823529</v>
      </c>
      <c r="I59" s="412"/>
      <c r="J59" s="402"/>
      <c r="K59" s="643"/>
      <c r="L59" s="643"/>
      <c r="M59" s="295" t="s">
        <v>253</v>
      </c>
      <c r="N59" s="295"/>
      <c r="O59" s="295"/>
      <c r="P59" s="402">
        <f>SUM(P60:P62)</f>
        <v>40600000</v>
      </c>
      <c r="Q59" s="405" t="s">
        <v>245</v>
      </c>
      <c r="S59" s="266"/>
      <c r="T59" s="52"/>
      <c r="U59" s="52"/>
      <c r="V59" s="52"/>
      <c r="W59" s="52"/>
    </row>
    <row r="60" spans="1:23" ht="17.100000000000001" customHeight="1">
      <c r="A60" s="147"/>
      <c r="B60" s="119"/>
      <c r="C60" s="681"/>
      <c r="D60" s="565"/>
      <c r="E60" s="566"/>
      <c r="F60" s="580"/>
      <c r="G60" s="581">
        <f>+D60-E60</f>
        <v>0</v>
      </c>
      <c r="H60" s="632"/>
      <c r="I60" s="644" t="s">
        <v>411</v>
      </c>
      <c r="J60" s="19">
        <v>1300000</v>
      </c>
      <c r="K60" s="20" t="s">
        <v>245</v>
      </c>
      <c r="L60" s="21" t="s">
        <v>251</v>
      </c>
      <c r="M60" s="20">
        <v>12</v>
      </c>
      <c r="N60" s="20" t="s">
        <v>246</v>
      </c>
      <c r="O60" s="22" t="s">
        <v>257</v>
      </c>
      <c r="P60" s="19">
        <f>J60*M60</f>
        <v>15600000</v>
      </c>
      <c r="Q60" s="23" t="s">
        <v>245</v>
      </c>
      <c r="S60" s="266"/>
      <c r="T60" s="52"/>
      <c r="U60" s="52"/>
      <c r="V60" s="52"/>
      <c r="W60" s="52"/>
    </row>
    <row r="61" spans="1:23" ht="17.100000000000001" customHeight="1">
      <c r="A61" s="147"/>
      <c r="B61" s="119"/>
      <c r="C61" s="681"/>
      <c r="D61" s="565"/>
      <c r="E61" s="566"/>
      <c r="F61" s="580"/>
      <c r="G61" s="581"/>
      <c r="H61" s="632"/>
      <c r="I61" s="644" t="s">
        <v>382</v>
      </c>
      <c r="J61" s="19">
        <v>100000</v>
      </c>
      <c r="K61" s="20" t="s">
        <v>245</v>
      </c>
      <c r="L61" s="21" t="s">
        <v>251</v>
      </c>
      <c r="M61" s="20">
        <v>250</v>
      </c>
      <c r="N61" s="20" t="s">
        <v>255</v>
      </c>
      <c r="O61" s="22" t="s">
        <v>257</v>
      </c>
      <c r="P61" s="19">
        <f>J61*M61</f>
        <v>25000000</v>
      </c>
      <c r="Q61" s="23" t="s">
        <v>245</v>
      </c>
      <c r="S61" s="266"/>
      <c r="T61" s="52"/>
      <c r="U61" s="52"/>
      <c r="V61" s="52"/>
      <c r="W61" s="52"/>
    </row>
    <row r="62" spans="1:23" ht="17.100000000000001" customHeight="1">
      <c r="A62" s="147"/>
      <c r="B62" s="119"/>
      <c r="C62" s="681"/>
      <c r="D62" s="565"/>
      <c r="E62" s="566"/>
      <c r="F62" s="580"/>
      <c r="G62" s="581"/>
      <c r="H62" s="634"/>
      <c r="I62" s="644" t="s">
        <v>27</v>
      </c>
      <c r="J62" s="19">
        <v>5000000</v>
      </c>
      <c r="K62" s="20" t="s">
        <v>245</v>
      </c>
      <c r="L62" s="21" t="s">
        <v>251</v>
      </c>
      <c r="M62" s="20">
        <v>0</v>
      </c>
      <c r="N62" s="20" t="s">
        <v>255</v>
      </c>
      <c r="O62" s="22" t="s">
        <v>257</v>
      </c>
      <c r="P62" s="19">
        <f>SUM(J62*M62)</f>
        <v>0</v>
      </c>
      <c r="Q62" s="23" t="s">
        <v>245</v>
      </c>
      <c r="S62" s="266"/>
      <c r="T62" s="52"/>
      <c r="U62" s="52"/>
      <c r="V62" s="52"/>
      <c r="W62" s="52"/>
    </row>
    <row r="63" spans="1:23" ht="17.100000000000001" customHeight="1">
      <c r="A63" s="147"/>
      <c r="B63" s="119"/>
      <c r="C63" s="682" t="s">
        <v>218</v>
      </c>
      <c r="D63" s="560">
        <v>566560</v>
      </c>
      <c r="E63" s="561">
        <f>+P63/1000</f>
        <v>572560</v>
      </c>
      <c r="F63" s="576">
        <v>551979</v>
      </c>
      <c r="G63" s="577">
        <f>+E63-D63</f>
        <v>6000</v>
      </c>
      <c r="H63" s="578">
        <f>+G63/D63*100</f>
        <v>1.0590228748940977</v>
      </c>
      <c r="I63" s="412"/>
      <c r="J63" s="402"/>
      <c r="K63" s="643"/>
      <c r="L63" s="643"/>
      <c r="M63" s="643" t="s">
        <v>253</v>
      </c>
      <c r="N63" s="643"/>
      <c r="O63" s="643"/>
      <c r="P63" s="402">
        <f>SUM(P64:P70)</f>
        <v>572560000</v>
      </c>
      <c r="Q63" s="405" t="s">
        <v>245</v>
      </c>
      <c r="S63" s="266"/>
      <c r="T63" s="266"/>
      <c r="U63" s="52"/>
      <c r="V63" s="52"/>
      <c r="W63" s="52"/>
    </row>
    <row r="64" spans="1:23" ht="17.100000000000001" customHeight="1">
      <c r="A64" s="147"/>
      <c r="B64" s="119"/>
      <c r="C64" s="681"/>
      <c r="D64" s="565"/>
      <c r="E64" s="566"/>
      <c r="F64" s="580"/>
      <c r="G64" s="581">
        <f>+D64-E64</f>
        <v>0</v>
      </c>
      <c r="H64" s="582" t="e">
        <f>+G64/D64*100</f>
        <v>#DIV/0!</v>
      </c>
      <c r="I64" s="644" t="s">
        <v>189</v>
      </c>
      <c r="J64" s="19">
        <v>20000000</v>
      </c>
      <c r="K64" s="20" t="s">
        <v>245</v>
      </c>
      <c r="L64" s="21" t="s">
        <v>251</v>
      </c>
      <c r="M64" s="20">
        <v>12</v>
      </c>
      <c r="N64" s="20" t="s">
        <v>246</v>
      </c>
      <c r="O64" s="22" t="s">
        <v>257</v>
      </c>
      <c r="P64" s="19">
        <f>J64*M64</f>
        <v>240000000</v>
      </c>
      <c r="Q64" s="23" t="s">
        <v>245</v>
      </c>
      <c r="S64" s="266"/>
      <c r="T64" s="52"/>
      <c r="U64" s="52"/>
      <c r="V64" s="52"/>
      <c r="W64" s="52"/>
    </row>
    <row r="65" spans="1:23" ht="17.100000000000001" customHeight="1">
      <c r="A65" s="147"/>
      <c r="B65" s="119"/>
      <c r="C65" s="388"/>
      <c r="D65" s="565"/>
      <c r="E65" s="566"/>
      <c r="F65" s="580"/>
      <c r="G65" s="581"/>
      <c r="H65" s="582" t="e">
        <f>+G65/D65*100</f>
        <v>#DIV/0!</v>
      </c>
      <c r="I65" s="644" t="s">
        <v>273</v>
      </c>
      <c r="J65" s="19">
        <v>23200000</v>
      </c>
      <c r="K65" s="20" t="s">
        <v>245</v>
      </c>
      <c r="L65" s="21" t="s">
        <v>251</v>
      </c>
      <c r="M65" s="20">
        <v>12</v>
      </c>
      <c r="N65" s="20" t="s">
        <v>246</v>
      </c>
      <c r="O65" s="22" t="s">
        <v>257</v>
      </c>
      <c r="P65" s="19">
        <f>SUM(J65*M65)</f>
        <v>278400000</v>
      </c>
      <c r="Q65" s="23" t="s">
        <v>245</v>
      </c>
      <c r="S65" s="266"/>
      <c r="T65" s="52"/>
      <c r="U65" s="52"/>
      <c r="V65" s="52"/>
      <c r="W65" s="52"/>
    </row>
    <row r="66" spans="1:23" ht="17.100000000000001" customHeight="1">
      <c r="A66" s="147"/>
      <c r="B66" s="119"/>
      <c r="C66" s="388"/>
      <c r="D66" s="565"/>
      <c r="E66" s="566"/>
      <c r="F66" s="580"/>
      <c r="G66" s="581"/>
      <c r="H66" s="582"/>
      <c r="I66" s="18" t="s">
        <v>301</v>
      </c>
      <c r="J66" s="19">
        <v>14000000</v>
      </c>
      <c r="K66" s="20" t="s">
        <v>245</v>
      </c>
      <c r="L66" s="21" t="s">
        <v>251</v>
      </c>
      <c r="M66" s="20">
        <v>1</v>
      </c>
      <c r="N66" s="20" t="s">
        <v>255</v>
      </c>
      <c r="O66" s="22" t="s">
        <v>257</v>
      </c>
      <c r="P66" s="19">
        <f>SUM(J66*M66)</f>
        <v>14000000</v>
      </c>
      <c r="Q66" s="23" t="s">
        <v>245</v>
      </c>
      <c r="S66" s="266"/>
      <c r="T66" s="52"/>
      <c r="U66" s="52"/>
      <c r="V66" s="52"/>
      <c r="W66" s="52"/>
    </row>
    <row r="67" spans="1:23" ht="17.100000000000001" customHeight="1">
      <c r="A67" s="147"/>
      <c r="B67" s="119"/>
      <c r="C67" s="388"/>
      <c r="D67" s="565"/>
      <c r="E67" s="566"/>
      <c r="F67" s="580"/>
      <c r="G67" s="581"/>
      <c r="H67" s="582"/>
      <c r="I67" s="18" t="s">
        <v>307</v>
      </c>
      <c r="J67" s="19">
        <v>10000000</v>
      </c>
      <c r="K67" s="20" t="s">
        <v>245</v>
      </c>
      <c r="L67" s="21" t="s">
        <v>251</v>
      </c>
      <c r="M67" s="20">
        <v>2</v>
      </c>
      <c r="N67" s="20" t="s">
        <v>255</v>
      </c>
      <c r="O67" s="22" t="s">
        <v>257</v>
      </c>
      <c r="P67" s="19">
        <f>SUM(J67*M67)</f>
        <v>20000000</v>
      </c>
      <c r="Q67" s="23" t="s">
        <v>245</v>
      </c>
      <c r="S67" s="266"/>
      <c r="T67" s="52"/>
      <c r="U67" s="52"/>
      <c r="V67" s="52"/>
      <c r="W67" s="52"/>
    </row>
    <row r="68" spans="1:23" ht="17.100000000000001" customHeight="1">
      <c r="A68" s="147"/>
      <c r="B68" s="119"/>
      <c r="C68" s="388"/>
      <c r="D68" s="565"/>
      <c r="E68" s="566"/>
      <c r="F68" s="580"/>
      <c r="G68" s="581"/>
      <c r="H68" s="582"/>
      <c r="I68" s="644" t="s">
        <v>114</v>
      </c>
      <c r="J68" s="19">
        <v>1300000</v>
      </c>
      <c r="K68" s="20" t="s">
        <v>245</v>
      </c>
      <c r="L68" s="21" t="s">
        <v>251</v>
      </c>
      <c r="M68" s="20">
        <v>12</v>
      </c>
      <c r="N68" s="20" t="s">
        <v>255</v>
      </c>
      <c r="O68" s="22" t="s">
        <v>257</v>
      </c>
      <c r="P68" s="19">
        <f>SUM(J68*M68)</f>
        <v>15600000</v>
      </c>
      <c r="Q68" s="362" t="s">
        <v>245</v>
      </c>
      <c r="S68" s="266"/>
      <c r="T68" s="52"/>
      <c r="U68" s="52"/>
      <c r="V68" s="52"/>
      <c r="W68" s="52"/>
    </row>
    <row r="69" spans="1:23" ht="17.100000000000001" customHeight="1">
      <c r="A69" s="147"/>
      <c r="B69" s="119"/>
      <c r="C69" s="388"/>
      <c r="D69" s="565"/>
      <c r="E69" s="566"/>
      <c r="F69" s="580"/>
      <c r="G69" s="581"/>
      <c r="H69" s="582" t="e">
        <f>+G69/D69*100</f>
        <v>#DIV/0!</v>
      </c>
      <c r="I69" s="644" t="s">
        <v>198</v>
      </c>
      <c r="J69" s="19">
        <v>180000</v>
      </c>
      <c r="K69" s="20" t="s">
        <v>245</v>
      </c>
      <c r="L69" s="21" t="s">
        <v>251</v>
      </c>
      <c r="M69" s="20">
        <v>12</v>
      </c>
      <c r="N69" s="20" t="s">
        <v>255</v>
      </c>
      <c r="O69" s="22" t="s">
        <v>257</v>
      </c>
      <c r="P69" s="19">
        <f>SUM(J69*M69)</f>
        <v>2160000</v>
      </c>
      <c r="Q69" s="362" t="s">
        <v>245</v>
      </c>
      <c r="S69" s="266"/>
      <c r="T69" s="52"/>
      <c r="U69" s="52"/>
      <c r="V69" s="52"/>
      <c r="W69" s="52"/>
    </row>
    <row r="70" spans="1:23" ht="17.100000000000001" customHeight="1">
      <c r="A70" s="147"/>
      <c r="B70" s="119"/>
      <c r="C70" s="388"/>
      <c r="D70" s="565"/>
      <c r="E70" s="566"/>
      <c r="F70" s="580"/>
      <c r="G70" s="581"/>
      <c r="H70" s="582"/>
      <c r="I70" s="644" t="s">
        <v>11</v>
      </c>
      <c r="J70" s="19">
        <v>200000</v>
      </c>
      <c r="K70" s="20" t="s">
        <v>245</v>
      </c>
      <c r="L70" s="21" t="s">
        <v>251</v>
      </c>
      <c r="M70" s="20">
        <v>12</v>
      </c>
      <c r="N70" s="20" t="s">
        <v>255</v>
      </c>
      <c r="O70" s="22" t="s">
        <v>257</v>
      </c>
      <c r="P70" s="19">
        <f>J70*M70</f>
        <v>2400000</v>
      </c>
      <c r="Q70" s="23" t="s">
        <v>245</v>
      </c>
      <c r="S70" s="266"/>
      <c r="T70" s="52"/>
      <c r="U70" s="52"/>
      <c r="V70" s="52"/>
      <c r="W70" s="52"/>
    </row>
    <row r="71" spans="1:23" ht="18.95" customHeight="1">
      <c r="A71" s="439" t="s">
        <v>244</v>
      </c>
      <c r="B71" s="449" t="s">
        <v>265</v>
      </c>
      <c r="C71" s="440"/>
      <c r="D71" s="583">
        <f>SUM(D72)</f>
        <v>2184810</v>
      </c>
      <c r="E71" s="584">
        <f>SUM(E72)</f>
        <v>2132859.784</v>
      </c>
      <c r="F71" s="608">
        <f>SUM(F72)</f>
        <v>875385</v>
      </c>
      <c r="G71" s="586">
        <f>+E71-D71</f>
        <v>-51950.216000000015</v>
      </c>
      <c r="H71" s="587">
        <f>+G71/D71*100</f>
        <v>-2.3777910207294921</v>
      </c>
      <c r="I71" s="250"/>
      <c r="J71" s="250"/>
      <c r="K71" s="251"/>
      <c r="L71" s="251"/>
      <c r="M71" s="250"/>
      <c r="N71" s="250"/>
      <c r="O71" s="250"/>
      <c r="P71" s="588">
        <f>P72</f>
        <v>2132859784</v>
      </c>
      <c r="Q71" s="410" t="s">
        <v>245</v>
      </c>
      <c r="S71" s="266"/>
      <c r="T71" s="52"/>
      <c r="U71" s="52"/>
      <c r="V71" s="52"/>
      <c r="W71" s="52"/>
    </row>
    <row r="72" spans="1:23" ht="17.100000000000001" customHeight="1">
      <c r="A72" s="147"/>
      <c r="B72" s="106" t="s">
        <v>244</v>
      </c>
      <c r="C72" s="243" t="s">
        <v>258</v>
      </c>
      <c r="D72" s="617">
        <f>SUM(D73:D84)</f>
        <v>2184810</v>
      </c>
      <c r="E72" s="683">
        <f>P72/1000</f>
        <v>2132859.784</v>
      </c>
      <c r="F72" s="684">
        <f>SUM(F73:F75)</f>
        <v>875385</v>
      </c>
      <c r="G72" s="556">
        <f>+E72-D72</f>
        <v>-51950.216000000015</v>
      </c>
      <c r="H72" s="557">
        <f>+G72/D72*100</f>
        <v>-2.3777910207294921</v>
      </c>
      <c r="I72" s="115"/>
      <c r="J72" s="115"/>
      <c r="K72" s="116"/>
      <c r="L72" s="116"/>
      <c r="M72" s="115"/>
      <c r="N72" s="115"/>
      <c r="O72" s="115"/>
      <c r="P72" s="200">
        <f>SUM(P73,P76,P79,P82)</f>
        <v>2132859784</v>
      </c>
      <c r="Q72" s="17" t="s">
        <v>245</v>
      </c>
      <c r="S72" s="266"/>
      <c r="T72" s="52"/>
      <c r="U72" s="52"/>
      <c r="V72" s="52"/>
      <c r="W72" s="52"/>
    </row>
    <row r="73" spans="1:23" ht="17.100000000000001" customHeight="1">
      <c r="A73" s="147"/>
      <c r="B73" s="119"/>
      <c r="C73" s="388" t="s">
        <v>56</v>
      </c>
      <c r="D73" s="560">
        <v>1080056</v>
      </c>
      <c r="E73" s="561">
        <f>+P73/1000</f>
        <v>1030056</v>
      </c>
      <c r="F73" s="576">
        <v>875385</v>
      </c>
      <c r="G73" s="577">
        <f>+E73-D73</f>
        <v>-50000</v>
      </c>
      <c r="H73" s="578">
        <f>+G73/D73*100</f>
        <v>-4.6293895872065889</v>
      </c>
      <c r="I73" s="125"/>
      <c r="J73" s="126"/>
      <c r="K73" s="128"/>
      <c r="L73" s="128"/>
      <c r="M73" s="152" t="s">
        <v>253</v>
      </c>
      <c r="N73" s="152"/>
      <c r="O73" s="152"/>
      <c r="P73" s="126">
        <f>SUM(P74:P75)</f>
        <v>1030056000</v>
      </c>
      <c r="Q73" s="129" t="s">
        <v>245</v>
      </c>
      <c r="S73" s="685"/>
    </row>
    <row r="74" spans="1:23" ht="17.100000000000001" customHeight="1">
      <c r="A74" s="147"/>
      <c r="B74" s="119"/>
      <c r="C74" s="387"/>
      <c r="D74" s="565"/>
      <c r="E74" s="566"/>
      <c r="F74" s="580"/>
      <c r="G74" s="581">
        <f>+E74-D74</f>
        <v>0</v>
      </c>
      <c r="H74" s="582"/>
      <c r="I74" s="136" t="s">
        <v>401</v>
      </c>
      <c r="J74" s="114">
        <v>13338000</v>
      </c>
      <c r="K74" s="116" t="s">
        <v>245</v>
      </c>
      <c r="L74" s="137" t="s">
        <v>251</v>
      </c>
      <c r="M74" s="116">
        <v>12</v>
      </c>
      <c r="N74" s="116" t="s">
        <v>246</v>
      </c>
      <c r="O74" s="138" t="s">
        <v>257</v>
      </c>
      <c r="P74" s="114">
        <f>J74*M74</f>
        <v>160056000</v>
      </c>
      <c r="Q74" s="17" t="s">
        <v>245</v>
      </c>
    </row>
    <row r="75" spans="1:23" ht="17.100000000000001" customHeight="1">
      <c r="A75" s="147"/>
      <c r="B75" s="119"/>
      <c r="C75" s="389"/>
      <c r="D75" s="572"/>
      <c r="E75" s="573"/>
      <c r="F75" s="605"/>
      <c r="G75" s="657">
        <f>+E75-D75</f>
        <v>0</v>
      </c>
      <c r="H75" s="658"/>
      <c r="I75" s="686" t="s">
        <v>373</v>
      </c>
      <c r="J75" s="173">
        <v>72500000</v>
      </c>
      <c r="K75" s="16" t="s">
        <v>245</v>
      </c>
      <c r="L75" s="15" t="s">
        <v>251</v>
      </c>
      <c r="M75" s="16">
        <v>12</v>
      </c>
      <c r="N75" s="16" t="s">
        <v>255</v>
      </c>
      <c r="O75" s="178" t="s">
        <v>257</v>
      </c>
      <c r="P75" s="173">
        <f>SUM(J75*M75)</f>
        <v>870000000</v>
      </c>
      <c r="Q75" s="175" t="s">
        <v>245</v>
      </c>
    </row>
    <row r="76" spans="1:23" ht="17.100000000000001" customHeight="1">
      <c r="A76" s="147"/>
      <c r="B76" s="119"/>
      <c r="C76" s="388" t="s">
        <v>31</v>
      </c>
      <c r="D76" s="560">
        <v>505278</v>
      </c>
      <c r="E76" s="561">
        <f>+P76/1000</f>
        <v>505277.78399999999</v>
      </c>
      <c r="F76" s="576">
        <v>593059</v>
      </c>
      <c r="G76" s="577">
        <f>E76-D76</f>
        <v>-0.21600000001490116</v>
      </c>
      <c r="H76" s="578">
        <f t="shared" ref="H76" si="5">+G76/D76*100</f>
        <v>-4.2748744258586589E-5</v>
      </c>
      <c r="I76" s="125"/>
      <c r="J76" s="259"/>
      <c r="K76" s="128"/>
      <c r="L76" s="128"/>
      <c r="M76" s="152" t="s">
        <v>253</v>
      </c>
      <c r="N76" s="152"/>
      <c r="O76" s="152"/>
      <c r="P76" s="259">
        <f>SUM(P77:P78)</f>
        <v>505277784</v>
      </c>
      <c r="Q76" s="129" t="s">
        <v>245</v>
      </c>
    </row>
    <row r="77" spans="1:23" ht="17.100000000000001" customHeight="1">
      <c r="A77" s="147"/>
      <c r="B77" s="392"/>
      <c r="C77" s="387"/>
      <c r="D77" s="565"/>
      <c r="E77" s="566"/>
      <c r="F77" s="580"/>
      <c r="G77" s="581"/>
      <c r="H77" s="582"/>
      <c r="I77" s="18" t="s">
        <v>315</v>
      </c>
      <c r="J77" s="19">
        <v>505277784</v>
      </c>
      <c r="K77" s="346" t="s">
        <v>245</v>
      </c>
      <c r="L77" s="345" t="s">
        <v>251</v>
      </c>
      <c r="M77" s="346">
        <v>1</v>
      </c>
      <c r="N77" s="346" t="s">
        <v>255</v>
      </c>
      <c r="O77" s="347" t="s">
        <v>257</v>
      </c>
      <c r="P77" s="293">
        <f>SUM(J77*M77)</f>
        <v>505277784</v>
      </c>
      <c r="Q77" s="17" t="s">
        <v>245</v>
      </c>
    </row>
    <row r="78" spans="1:23" ht="17.100000000000001" customHeight="1">
      <c r="A78" s="147"/>
      <c r="B78" s="392"/>
      <c r="C78" s="389"/>
      <c r="D78" s="572"/>
      <c r="E78" s="573"/>
      <c r="F78" s="605"/>
      <c r="G78" s="657"/>
      <c r="H78" s="658"/>
      <c r="I78" s="659" t="s">
        <v>371</v>
      </c>
      <c r="J78" s="25">
        <v>0</v>
      </c>
      <c r="K78" s="26" t="s">
        <v>245</v>
      </c>
      <c r="L78" s="27" t="s">
        <v>251</v>
      </c>
      <c r="M78" s="26">
        <v>1</v>
      </c>
      <c r="N78" s="26" t="s">
        <v>255</v>
      </c>
      <c r="O78" s="28" t="s">
        <v>257</v>
      </c>
      <c r="P78" s="25">
        <f>SUM(J78*M78)</f>
        <v>0</v>
      </c>
      <c r="Q78" s="29" t="s">
        <v>245</v>
      </c>
      <c r="T78" s="45"/>
    </row>
    <row r="79" spans="1:23" ht="17.100000000000001" customHeight="1">
      <c r="A79" s="91" t="s">
        <v>244</v>
      </c>
      <c r="B79" s="106" t="s">
        <v>244</v>
      </c>
      <c r="C79" s="386" t="s">
        <v>57</v>
      </c>
      <c r="D79" s="560">
        <v>447506</v>
      </c>
      <c r="E79" s="561">
        <f>+P79/1000</f>
        <v>447506</v>
      </c>
      <c r="F79" s="576">
        <v>538723</v>
      </c>
      <c r="G79" s="577">
        <f>+E79-D79</f>
        <v>0</v>
      </c>
      <c r="H79" s="578">
        <f t="shared" ref="H79" si="6">+G79/D79*100</f>
        <v>0</v>
      </c>
      <c r="I79" s="125"/>
      <c r="J79" s="402"/>
      <c r="K79" s="643"/>
      <c r="L79" s="643"/>
      <c r="M79" s="295" t="s">
        <v>253</v>
      </c>
      <c r="N79" s="295"/>
      <c r="O79" s="295"/>
      <c r="P79" s="402">
        <f>SUM(P80:P81)</f>
        <v>447506000</v>
      </c>
      <c r="Q79" s="405" t="s">
        <v>245</v>
      </c>
    </row>
    <row r="80" spans="1:23" ht="17.100000000000001" customHeight="1">
      <c r="A80" s="147"/>
      <c r="B80" s="392"/>
      <c r="C80" s="579"/>
      <c r="D80" s="565"/>
      <c r="E80" s="566"/>
      <c r="F80" s="580"/>
      <c r="G80" s="581"/>
      <c r="H80" s="582"/>
      <c r="I80" s="18" t="s">
        <v>522</v>
      </c>
      <c r="J80" s="19">
        <v>103753000</v>
      </c>
      <c r="K80" s="20" t="s">
        <v>245</v>
      </c>
      <c r="L80" s="21" t="s">
        <v>251</v>
      </c>
      <c r="M80" s="20">
        <v>2</v>
      </c>
      <c r="N80" s="20" t="s">
        <v>255</v>
      </c>
      <c r="O80" s="22" t="s">
        <v>257</v>
      </c>
      <c r="P80" s="19">
        <f>SUM(J80*M80)</f>
        <v>207506000</v>
      </c>
      <c r="Q80" s="23" t="s">
        <v>245</v>
      </c>
    </row>
    <row r="81" spans="1:20" ht="17.100000000000001" customHeight="1">
      <c r="A81" s="147"/>
      <c r="B81" s="392"/>
      <c r="C81" s="687"/>
      <c r="D81" s="572"/>
      <c r="E81" s="573"/>
      <c r="F81" s="605"/>
      <c r="G81" s="657">
        <f>+D81-E81</f>
        <v>0</v>
      </c>
      <c r="H81" s="658"/>
      <c r="I81" s="24" t="s">
        <v>515</v>
      </c>
      <c r="J81" s="25">
        <v>60000000</v>
      </c>
      <c r="K81" s="26" t="s">
        <v>245</v>
      </c>
      <c r="L81" s="27" t="s">
        <v>251</v>
      </c>
      <c r="M81" s="26">
        <v>4</v>
      </c>
      <c r="N81" s="26" t="s">
        <v>255</v>
      </c>
      <c r="O81" s="28" t="s">
        <v>257</v>
      </c>
      <c r="P81" s="25">
        <f>SUM(J81*M81)</f>
        <v>240000000</v>
      </c>
      <c r="Q81" s="29" t="s">
        <v>245</v>
      </c>
    </row>
    <row r="82" spans="1:20" ht="17.100000000000001" customHeight="1">
      <c r="A82" s="91"/>
      <c r="B82" s="435"/>
      <c r="C82" s="388" t="s">
        <v>39</v>
      </c>
      <c r="D82" s="560">
        <v>151970</v>
      </c>
      <c r="E82" s="561">
        <f>+P82/1000</f>
        <v>150020</v>
      </c>
      <c r="F82" s="576">
        <v>22522</v>
      </c>
      <c r="G82" s="577">
        <f>+E82-D82</f>
        <v>-1950</v>
      </c>
      <c r="H82" s="578">
        <f t="shared" ref="H82" si="7">+G82/D82*100</f>
        <v>-1.2831479897348161</v>
      </c>
      <c r="I82" s="125"/>
      <c r="J82" s="641"/>
      <c r="K82" s="643"/>
      <c r="L82" s="643"/>
      <c r="M82" s="295" t="s">
        <v>253</v>
      </c>
      <c r="N82" s="295"/>
      <c r="O82" s="295"/>
      <c r="P82" s="641">
        <f>SUM(P83:P84)</f>
        <v>150020000</v>
      </c>
      <c r="Q82" s="405" t="s">
        <v>245</v>
      </c>
    </row>
    <row r="83" spans="1:20" ht="17.100000000000001" customHeight="1">
      <c r="A83" s="147"/>
      <c r="B83" s="392"/>
      <c r="C83" s="387"/>
      <c r="D83" s="565"/>
      <c r="E83" s="566"/>
      <c r="F83" s="580"/>
      <c r="G83" s="581"/>
      <c r="H83" s="582"/>
      <c r="I83" s="688" t="s">
        <v>518</v>
      </c>
      <c r="J83" s="19">
        <v>5362500</v>
      </c>
      <c r="K83" s="20" t="s">
        <v>245</v>
      </c>
      <c r="L83" s="21" t="s">
        <v>251</v>
      </c>
      <c r="M83" s="20">
        <v>12</v>
      </c>
      <c r="N83" s="20" t="s">
        <v>246</v>
      </c>
      <c r="O83" s="22" t="s">
        <v>257</v>
      </c>
      <c r="P83" s="19">
        <f>SUM(J83*M83)</f>
        <v>64350000</v>
      </c>
      <c r="Q83" s="23" t="s">
        <v>245</v>
      </c>
    </row>
    <row r="84" spans="1:20" ht="17.100000000000001" customHeight="1">
      <c r="A84" s="211"/>
      <c r="B84" s="177"/>
      <c r="C84" s="389"/>
      <c r="D84" s="572"/>
      <c r="E84" s="573"/>
      <c r="F84" s="571"/>
      <c r="G84" s="657"/>
      <c r="H84" s="658"/>
      <c r="I84" s="689" t="s">
        <v>8</v>
      </c>
      <c r="J84" s="25">
        <v>8567000</v>
      </c>
      <c r="K84" s="26" t="s">
        <v>245</v>
      </c>
      <c r="L84" s="27" t="s">
        <v>251</v>
      </c>
      <c r="M84" s="26">
        <v>10</v>
      </c>
      <c r="N84" s="26" t="s">
        <v>255</v>
      </c>
      <c r="O84" s="28" t="s">
        <v>257</v>
      </c>
      <c r="P84" s="25">
        <f>SUM(J84*M84)</f>
        <v>85670000</v>
      </c>
      <c r="Q84" s="29" t="s">
        <v>245</v>
      </c>
    </row>
    <row r="85" spans="1:20" ht="18.95" customHeight="1">
      <c r="A85" s="439" t="s">
        <v>250</v>
      </c>
      <c r="B85" s="449" t="s">
        <v>265</v>
      </c>
      <c r="C85" s="440"/>
      <c r="D85" s="583">
        <f>SUM(D86)</f>
        <v>4546464</v>
      </c>
      <c r="E85" s="584">
        <f>SUM(E86)</f>
        <v>4546463.5979999993</v>
      </c>
      <c r="F85" s="608">
        <f>SUM(F86)</f>
        <v>1596860</v>
      </c>
      <c r="G85" s="586">
        <f>+E85-D85</f>
        <v>-0.40200000070035458</v>
      </c>
      <c r="H85" s="587">
        <f t="shared" ref="H85:H98" si="8">+G85/D85*100</f>
        <v>-8.8420363759694255E-6</v>
      </c>
      <c r="I85" s="250"/>
      <c r="J85" s="250"/>
      <c r="K85" s="251"/>
      <c r="L85" s="251"/>
      <c r="M85" s="250"/>
      <c r="N85" s="250"/>
      <c r="O85" s="250"/>
      <c r="P85" s="588">
        <f>SUM(P86)</f>
        <v>4546463598</v>
      </c>
      <c r="Q85" s="410" t="s">
        <v>245</v>
      </c>
    </row>
    <row r="86" spans="1:20" ht="17.100000000000001" customHeight="1">
      <c r="A86" s="147"/>
      <c r="B86" s="189" t="s">
        <v>250</v>
      </c>
      <c r="C86" s="380" t="s">
        <v>258</v>
      </c>
      <c r="D86" s="553">
        <f>SUM(D87:D89)</f>
        <v>4546464</v>
      </c>
      <c r="E86" s="690">
        <f>SUM(E87:E89)-1</f>
        <v>4546463.5979999993</v>
      </c>
      <c r="F86" s="691">
        <f>SUM(F87:F89)</f>
        <v>1596860</v>
      </c>
      <c r="G86" s="556">
        <f>E86-D86</f>
        <v>-0.40200000070035458</v>
      </c>
      <c r="H86" s="557">
        <f t="shared" si="8"/>
        <v>-8.8420363759694255E-6</v>
      </c>
      <c r="I86" s="127" t="s">
        <v>279</v>
      </c>
      <c r="J86" s="250" t="s">
        <v>279</v>
      </c>
      <c r="K86" s="128"/>
      <c r="L86" s="128"/>
      <c r="M86" s="127"/>
      <c r="N86" s="252" t="s">
        <v>253</v>
      </c>
      <c r="O86" s="252"/>
      <c r="P86" s="196">
        <f>SUM(P87:P89)</f>
        <v>4546463598</v>
      </c>
      <c r="Q86" s="129" t="s">
        <v>245</v>
      </c>
    </row>
    <row r="87" spans="1:20" ht="17.100000000000001" customHeight="1">
      <c r="A87" s="147"/>
      <c r="B87" s="119"/>
      <c r="C87" s="692" t="s">
        <v>454</v>
      </c>
      <c r="D87" s="693">
        <v>1474295</v>
      </c>
      <c r="E87" s="694">
        <f>+P87/1000</f>
        <v>1474294.905</v>
      </c>
      <c r="F87" s="695">
        <v>313065</v>
      </c>
      <c r="G87" s="556">
        <f>E87-D87</f>
        <v>-9.4999999972060323E-2</v>
      </c>
      <c r="H87" s="557">
        <f t="shared" si="8"/>
        <v>-6.4437578620330612E-6</v>
      </c>
      <c r="I87" s="696" t="s">
        <v>454</v>
      </c>
      <c r="J87" s="249">
        <v>1474294905</v>
      </c>
      <c r="K87" s="250" t="s">
        <v>245</v>
      </c>
      <c r="L87" s="339" t="s">
        <v>251</v>
      </c>
      <c r="M87" s="251">
        <v>1</v>
      </c>
      <c r="N87" s="251" t="s">
        <v>255</v>
      </c>
      <c r="O87" s="340" t="s">
        <v>257</v>
      </c>
      <c r="P87" s="697">
        <f>+J87*M87</f>
        <v>1474294905</v>
      </c>
      <c r="Q87" s="117" t="s">
        <v>245</v>
      </c>
    </row>
    <row r="88" spans="1:20" ht="17.100000000000001" customHeight="1">
      <c r="A88" s="147"/>
      <c r="B88" s="119"/>
      <c r="C88" s="358" t="s">
        <v>90</v>
      </c>
      <c r="D88" s="617">
        <v>775361</v>
      </c>
      <c r="E88" s="694">
        <f>+P88/1000+1</f>
        <v>775361.43299999996</v>
      </c>
      <c r="F88" s="695">
        <v>1283795</v>
      </c>
      <c r="G88" s="556">
        <f>E88-D88</f>
        <v>0.43299999996088445</v>
      </c>
      <c r="H88" s="557">
        <f t="shared" si="8"/>
        <v>5.5844954796654008E-5</v>
      </c>
      <c r="I88" s="696" t="s">
        <v>90</v>
      </c>
      <c r="J88" s="249">
        <v>775360433</v>
      </c>
      <c r="K88" s="250" t="s">
        <v>245</v>
      </c>
      <c r="L88" s="339" t="s">
        <v>251</v>
      </c>
      <c r="M88" s="251">
        <v>1</v>
      </c>
      <c r="N88" s="251" t="s">
        <v>255</v>
      </c>
      <c r="O88" s="340" t="s">
        <v>257</v>
      </c>
      <c r="P88" s="697">
        <f>+J88*M88</f>
        <v>775360433</v>
      </c>
      <c r="Q88" s="117" t="s">
        <v>245</v>
      </c>
    </row>
    <row r="89" spans="1:20" ht="17.100000000000001" customHeight="1">
      <c r="A89" s="147"/>
      <c r="B89" s="119" t="s">
        <v>279</v>
      </c>
      <c r="C89" s="698" t="s">
        <v>127</v>
      </c>
      <c r="D89" s="617">
        <v>2296808</v>
      </c>
      <c r="E89" s="694">
        <f>+P89/1000</f>
        <v>2296808.2599999998</v>
      </c>
      <c r="F89" s="695">
        <v>0</v>
      </c>
      <c r="G89" s="556">
        <f>E89-D89</f>
        <v>0.25999999977648258</v>
      </c>
      <c r="H89" s="557">
        <f t="shared" si="8"/>
        <v>1.13200580882896E-5</v>
      </c>
      <c r="I89" s="125" t="s">
        <v>127</v>
      </c>
      <c r="J89" s="249">
        <v>2296808260</v>
      </c>
      <c r="K89" s="127" t="s">
        <v>245</v>
      </c>
      <c r="L89" s="222" t="s">
        <v>251</v>
      </c>
      <c r="M89" s="128">
        <v>1</v>
      </c>
      <c r="N89" s="128" t="s">
        <v>255</v>
      </c>
      <c r="O89" s="385" t="s">
        <v>257</v>
      </c>
      <c r="P89" s="259">
        <f>+J89*M89</f>
        <v>2296808260</v>
      </c>
      <c r="Q89" s="129" t="s">
        <v>245</v>
      </c>
    </row>
    <row r="90" spans="1:20" ht="18.95" customHeight="1">
      <c r="A90" s="439" t="s">
        <v>293</v>
      </c>
      <c r="B90" s="440" t="s">
        <v>265</v>
      </c>
      <c r="C90" s="474"/>
      <c r="D90" s="699">
        <f>D91</f>
        <v>380930</v>
      </c>
      <c r="E90" s="700">
        <f>E91</f>
        <v>412261.97</v>
      </c>
      <c r="F90" s="583">
        <f>F91</f>
        <v>0</v>
      </c>
      <c r="G90" s="701">
        <f>G91</f>
        <v>31331.969999999972</v>
      </c>
      <c r="H90" s="587">
        <f t="shared" si="8"/>
        <v>8.2251253511143716</v>
      </c>
      <c r="I90" s="125"/>
      <c r="J90" s="259"/>
      <c r="K90" s="127"/>
      <c r="L90" s="222"/>
      <c r="M90" s="128"/>
      <c r="N90" s="128"/>
      <c r="O90" s="385"/>
      <c r="P90" s="702">
        <f>SUM(P91)</f>
        <v>412261970</v>
      </c>
      <c r="Q90" s="443" t="s">
        <v>245</v>
      </c>
    </row>
    <row r="91" spans="1:20" ht="17.100000000000001" customHeight="1">
      <c r="A91" s="91"/>
      <c r="B91" s="106" t="s">
        <v>293</v>
      </c>
      <c r="C91" s="703" t="s">
        <v>258</v>
      </c>
      <c r="D91" s="553">
        <f>SUM(D92:D98)</f>
        <v>380930</v>
      </c>
      <c r="E91" s="690">
        <f>SUM(E92:E98)</f>
        <v>412261.97</v>
      </c>
      <c r="F91" s="704"/>
      <c r="G91" s="556">
        <f>E91-D91</f>
        <v>31331.969999999972</v>
      </c>
      <c r="H91" s="705">
        <f>G91/D91*100</f>
        <v>8.2251253511143716</v>
      </c>
      <c r="I91" s="125"/>
      <c r="J91" s="259"/>
      <c r="K91" s="127"/>
      <c r="L91" s="222"/>
      <c r="M91" s="128"/>
      <c r="N91" s="252" t="s">
        <v>253</v>
      </c>
      <c r="O91" s="252"/>
      <c r="P91" s="259">
        <f>SUM(P92:P94)</f>
        <v>412261970</v>
      </c>
      <c r="Q91" s="129" t="s">
        <v>245</v>
      </c>
    </row>
    <row r="92" spans="1:20" ht="17.100000000000001" customHeight="1">
      <c r="A92" s="147"/>
      <c r="B92" s="119"/>
      <c r="C92" s="243" t="s">
        <v>79</v>
      </c>
      <c r="D92" s="617">
        <v>8000</v>
      </c>
      <c r="E92" s="618">
        <f>P92/1000</f>
        <v>18000</v>
      </c>
      <c r="F92" s="706"/>
      <c r="G92" s="556">
        <f>+E92-D92</f>
        <v>10000</v>
      </c>
      <c r="H92" s="705">
        <f>G92/D92*100</f>
        <v>125</v>
      </c>
      <c r="I92" s="696" t="s">
        <v>79</v>
      </c>
      <c r="J92" s="249">
        <v>4500000</v>
      </c>
      <c r="K92" s="251" t="s">
        <v>245</v>
      </c>
      <c r="L92" s="339" t="s">
        <v>251</v>
      </c>
      <c r="M92" s="251">
        <v>4</v>
      </c>
      <c r="N92" s="251" t="s">
        <v>284</v>
      </c>
      <c r="O92" s="340" t="s">
        <v>257</v>
      </c>
      <c r="P92" s="249">
        <f>SUM(J92*M92)</f>
        <v>18000000</v>
      </c>
      <c r="Q92" s="117" t="s">
        <v>245</v>
      </c>
      <c r="T92" s="55"/>
    </row>
    <row r="93" spans="1:20" ht="17.100000000000001" customHeight="1">
      <c r="A93" s="147"/>
      <c r="B93" s="119"/>
      <c r="C93" s="243" t="s">
        <v>129</v>
      </c>
      <c r="D93" s="617">
        <v>56918</v>
      </c>
      <c r="E93" s="683">
        <f>P93/1000</f>
        <v>56917.97</v>
      </c>
      <c r="F93" s="706"/>
      <c r="G93" s="556">
        <f>+E93-D93</f>
        <v>-2.9999999998835847E-2</v>
      </c>
      <c r="H93" s="557">
        <f>G93/D93*100</f>
        <v>-5.2707403631251708E-5</v>
      </c>
      <c r="I93" s="707" t="s">
        <v>512</v>
      </c>
      <c r="J93" s="249">
        <v>56917970</v>
      </c>
      <c r="K93" s="251" t="s">
        <v>245</v>
      </c>
      <c r="L93" s="251" t="s">
        <v>251</v>
      </c>
      <c r="M93" s="250">
        <v>1</v>
      </c>
      <c r="N93" s="251" t="s">
        <v>255</v>
      </c>
      <c r="O93" s="250" t="s">
        <v>257</v>
      </c>
      <c r="P93" s="249">
        <f>J93*M93</f>
        <v>56917970</v>
      </c>
      <c r="Q93" s="117" t="s">
        <v>245</v>
      </c>
      <c r="T93" s="55"/>
    </row>
    <row r="94" spans="1:20" ht="17.100000000000001" customHeight="1">
      <c r="A94" s="147"/>
      <c r="B94" s="119"/>
      <c r="C94" s="388" t="s">
        <v>82</v>
      </c>
      <c r="D94" s="565">
        <v>316012</v>
      </c>
      <c r="E94" s="566">
        <f>+P94/1000</f>
        <v>337344</v>
      </c>
      <c r="F94" s="576">
        <v>6500</v>
      </c>
      <c r="G94" s="581">
        <f>+E94-D94</f>
        <v>21332</v>
      </c>
      <c r="H94" s="708">
        <f t="shared" si="8"/>
        <v>6.7503765679784307</v>
      </c>
      <c r="I94" s="125"/>
      <c r="J94" s="126"/>
      <c r="K94" s="128"/>
      <c r="L94" s="128"/>
      <c r="M94" s="152" t="s">
        <v>253</v>
      </c>
      <c r="N94" s="152"/>
      <c r="O94" s="152"/>
      <c r="P94" s="126">
        <f>SUM(P95:P98)</f>
        <v>337344000</v>
      </c>
      <c r="Q94" s="129" t="s">
        <v>245</v>
      </c>
      <c r="T94" s="55"/>
    </row>
    <row r="95" spans="1:20" ht="17.100000000000001" customHeight="1">
      <c r="A95" s="147"/>
      <c r="B95" s="119"/>
      <c r="C95" s="387"/>
      <c r="D95" s="565"/>
      <c r="E95" s="566"/>
      <c r="F95" s="580"/>
      <c r="G95" s="581"/>
      <c r="H95" s="708" t="e">
        <f t="shared" si="8"/>
        <v>#DIV/0!</v>
      </c>
      <c r="I95" s="30" t="s">
        <v>16</v>
      </c>
      <c r="J95" s="210">
        <v>3375000</v>
      </c>
      <c r="K95" s="20" t="s">
        <v>245</v>
      </c>
      <c r="L95" s="21" t="s">
        <v>251</v>
      </c>
      <c r="M95" s="20">
        <v>4</v>
      </c>
      <c r="N95" s="20" t="s">
        <v>255</v>
      </c>
      <c r="O95" s="22" t="s">
        <v>257</v>
      </c>
      <c r="P95" s="210">
        <f>J95*M95</f>
        <v>13500000</v>
      </c>
      <c r="Q95" s="23" t="s">
        <v>245</v>
      </c>
      <c r="T95" s="55"/>
    </row>
    <row r="96" spans="1:20" ht="17.100000000000001" customHeight="1">
      <c r="A96" s="147"/>
      <c r="B96" s="119"/>
      <c r="C96" s="387"/>
      <c r="D96" s="565"/>
      <c r="E96" s="566"/>
      <c r="F96" s="580"/>
      <c r="G96" s="581"/>
      <c r="H96" s="578"/>
      <c r="I96" s="644" t="s">
        <v>340</v>
      </c>
      <c r="J96" s="210">
        <v>237512000</v>
      </c>
      <c r="K96" s="20" t="s">
        <v>245</v>
      </c>
      <c r="L96" s="21" t="s">
        <v>251</v>
      </c>
      <c r="M96" s="20">
        <v>1</v>
      </c>
      <c r="N96" s="20" t="s">
        <v>255</v>
      </c>
      <c r="O96" s="22" t="s">
        <v>257</v>
      </c>
      <c r="P96" s="210">
        <f>J96*M96</f>
        <v>237512000</v>
      </c>
      <c r="Q96" s="23" t="s">
        <v>245</v>
      </c>
      <c r="T96" s="55"/>
    </row>
    <row r="97" spans="1:27" ht="17.100000000000001" customHeight="1">
      <c r="A97" s="147"/>
      <c r="B97" s="119"/>
      <c r="C97" s="387"/>
      <c r="D97" s="565"/>
      <c r="E97" s="566"/>
      <c r="F97" s="580"/>
      <c r="G97" s="581"/>
      <c r="H97" s="578"/>
      <c r="I97" s="644" t="s">
        <v>317</v>
      </c>
      <c r="J97" s="210">
        <v>40000000</v>
      </c>
      <c r="K97" s="20" t="s">
        <v>245</v>
      </c>
      <c r="L97" s="21" t="s">
        <v>251</v>
      </c>
      <c r="M97" s="20">
        <v>1</v>
      </c>
      <c r="N97" s="20" t="s">
        <v>255</v>
      </c>
      <c r="O97" s="22" t="s">
        <v>257</v>
      </c>
      <c r="P97" s="210">
        <f>J97*M97</f>
        <v>40000000</v>
      </c>
      <c r="Q97" s="23" t="s">
        <v>245</v>
      </c>
      <c r="T97" s="55"/>
    </row>
    <row r="98" spans="1:27" ht="15.95" customHeight="1" thickBot="1">
      <c r="A98" s="228"/>
      <c r="B98" s="667"/>
      <c r="C98" s="668"/>
      <c r="D98" s="669"/>
      <c r="E98" s="709"/>
      <c r="F98" s="710"/>
      <c r="G98" s="672">
        <f>+E98-D98</f>
        <v>0</v>
      </c>
      <c r="H98" s="711" t="e">
        <f t="shared" si="8"/>
        <v>#DIV/0!</v>
      </c>
      <c r="I98" s="712" t="s">
        <v>82</v>
      </c>
      <c r="J98" s="504">
        <v>7722000</v>
      </c>
      <c r="K98" s="507" t="s">
        <v>245</v>
      </c>
      <c r="L98" s="506" t="s">
        <v>251</v>
      </c>
      <c r="M98" s="507">
        <v>6</v>
      </c>
      <c r="N98" s="507" t="s">
        <v>255</v>
      </c>
      <c r="O98" s="508" t="s">
        <v>257</v>
      </c>
      <c r="P98" s="504">
        <f>SUM(J98*M98)</f>
        <v>46332000</v>
      </c>
      <c r="Q98" s="510" t="s">
        <v>245</v>
      </c>
      <c r="T98" s="55"/>
      <c r="AA98" s="713"/>
    </row>
    <row r="99" spans="1:27">
      <c r="T99" s="55"/>
      <c r="AA99" s="713"/>
    </row>
    <row r="100" spans="1:27">
      <c r="T100" s="55"/>
      <c r="AA100" s="713"/>
    </row>
    <row r="101" spans="1:27">
      <c r="T101" s="55"/>
      <c r="AA101" s="713"/>
    </row>
    <row r="102" spans="1:27">
      <c r="T102" s="55"/>
      <c r="AA102" s="713"/>
    </row>
    <row r="103" spans="1:27">
      <c r="T103" s="55"/>
      <c r="AA103" s="713"/>
    </row>
    <row r="104" spans="1:27">
      <c r="T104" s="55"/>
      <c r="AA104" s="713"/>
    </row>
    <row r="105" spans="1:27">
      <c r="T105" s="55"/>
    </row>
    <row r="106" spans="1:27">
      <c r="T106" s="55"/>
    </row>
    <row r="107" spans="1:27">
      <c r="A107" s="54"/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S107" s="54"/>
      <c r="T107" s="55"/>
    </row>
  </sheetData>
  <mergeCells count="130">
    <mergeCell ref="D20:D21"/>
    <mergeCell ref="C36:C38"/>
    <mergeCell ref="I4:Q5"/>
    <mergeCell ref="M20:O20"/>
    <mergeCell ref="B7:C7"/>
    <mergeCell ref="G16:G19"/>
    <mergeCell ref="A6:C6"/>
    <mergeCell ref="H16:H19"/>
    <mergeCell ref="C9:C15"/>
    <mergeCell ref="D9:D15"/>
    <mergeCell ref="E9:E15"/>
    <mergeCell ref="H24:H26"/>
    <mergeCell ref="F24:F30"/>
    <mergeCell ref="D24:D26"/>
    <mergeCell ref="A1:Q1"/>
    <mergeCell ref="F36:F37"/>
    <mergeCell ref="D16:D19"/>
    <mergeCell ref="M9:O9"/>
    <mergeCell ref="E4:E5"/>
    <mergeCell ref="A4:A5"/>
    <mergeCell ref="B34:C34"/>
    <mergeCell ref="F4:F5"/>
    <mergeCell ref="B4:B5"/>
    <mergeCell ref="M24:O24"/>
    <mergeCell ref="H36:H38"/>
    <mergeCell ref="E20:E21"/>
    <mergeCell ref="G20:G21"/>
    <mergeCell ref="H20:H21"/>
    <mergeCell ref="E36:E38"/>
    <mergeCell ref="G36:G38"/>
    <mergeCell ref="E24:E26"/>
    <mergeCell ref="G24:G26"/>
    <mergeCell ref="C4:C5"/>
    <mergeCell ref="G4:H4"/>
    <mergeCell ref="C16:C19"/>
    <mergeCell ref="E16:E19"/>
    <mergeCell ref="G9:G15"/>
    <mergeCell ref="H9:H15"/>
    <mergeCell ref="O3:Q3"/>
    <mergeCell ref="F16:F19"/>
    <mergeCell ref="D4:D5"/>
    <mergeCell ref="E53:E57"/>
    <mergeCell ref="C59:C62"/>
    <mergeCell ref="D59:D62"/>
    <mergeCell ref="E59:E62"/>
    <mergeCell ref="C43:C47"/>
    <mergeCell ref="B22:C22"/>
    <mergeCell ref="D36:D38"/>
    <mergeCell ref="B39:C39"/>
    <mergeCell ref="D41:D42"/>
    <mergeCell ref="C24:C26"/>
    <mergeCell ref="E41:E42"/>
    <mergeCell ref="M16:O16"/>
    <mergeCell ref="I24:J24"/>
    <mergeCell ref="C41:C42"/>
    <mergeCell ref="C20:C21"/>
    <mergeCell ref="B31:C31"/>
    <mergeCell ref="C48:C52"/>
    <mergeCell ref="D48:D52"/>
    <mergeCell ref="E48:E52"/>
    <mergeCell ref="G48:G52"/>
    <mergeCell ref="H48:H52"/>
    <mergeCell ref="M94:O94"/>
    <mergeCell ref="N91:O91"/>
    <mergeCell ref="N86:O86"/>
    <mergeCell ref="H94:H98"/>
    <mergeCell ref="B90:C90"/>
    <mergeCell ref="F94:F98"/>
    <mergeCell ref="B85:C85"/>
    <mergeCell ref="C94:C98"/>
    <mergeCell ref="F73:F75"/>
    <mergeCell ref="G94:G98"/>
    <mergeCell ref="G73:G75"/>
    <mergeCell ref="D94:D98"/>
    <mergeCell ref="E94:E98"/>
    <mergeCell ref="C82:C84"/>
    <mergeCell ref="D82:D84"/>
    <mergeCell ref="E82:E84"/>
    <mergeCell ref="F82:F83"/>
    <mergeCell ref="G82:G84"/>
    <mergeCell ref="H82:H84"/>
    <mergeCell ref="M82:O82"/>
    <mergeCell ref="C76:C78"/>
    <mergeCell ref="D76:D78"/>
    <mergeCell ref="E76:E78"/>
    <mergeCell ref="F76:F78"/>
    <mergeCell ref="C73:C75"/>
    <mergeCell ref="B71:C71"/>
    <mergeCell ref="C53:C57"/>
    <mergeCell ref="D53:D57"/>
    <mergeCell ref="D43:D47"/>
    <mergeCell ref="D63:D70"/>
    <mergeCell ref="C63:C70"/>
    <mergeCell ref="E43:E47"/>
    <mergeCell ref="E63:E70"/>
    <mergeCell ref="R50:U50"/>
    <mergeCell ref="H63:H70"/>
    <mergeCell ref="M73:O73"/>
    <mergeCell ref="H73:H75"/>
    <mergeCell ref="M53:O53"/>
    <mergeCell ref="H41:H42"/>
    <mergeCell ref="H53:H57"/>
    <mergeCell ref="M43:O43"/>
    <mergeCell ref="M48:O48"/>
    <mergeCell ref="H59:H62"/>
    <mergeCell ref="M59:O59"/>
    <mergeCell ref="A3:B3"/>
    <mergeCell ref="G76:G78"/>
    <mergeCell ref="H76:H78"/>
    <mergeCell ref="M76:O76"/>
    <mergeCell ref="C79:C81"/>
    <mergeCell ref="D79:D81"/>
    <mergeCell ref="E79:E81"/>
    <mergeCell ref="F79:F81"/>
    <mergeCell ref="G79:G81"/>
    <mergeCell ref="H79:H81"/>
    <mergeCell ref="M79:O79"/>
    <mergeCell ref="G53:G57"/>
    <mergeCell ref="F43:F44"/>
    <mergeCell ref="H43:H47"/>
    <mergeCell ref="G43:G47"/>
    <mergeCell ref="F48:F49"/>
    <mergeCell ref="F41:F42"/>
    <mergeCell ref="F59:F62"/>
    <mergeCell ref="G59:G62"/>
    <mergeCell ref="G63:G70"/>
    <mergeCell ref="G41:G42"/>
    <mergeCell ref="F63:F70"/>
    <mergeCell ref="D73:D75"/>
    <mergeCell ref="E73:E75"/>
  </mergeCells>
  <phoneticPr fontId="7" type="noConversion"/>
  <printOptions horizontalCentered="1"/>
  <pageMargins left="0.23622047244094491" right="0.11811023622047245" top="0.59055118110236227" bottom="0.39370078740157483" header="0.39370078740157483" footer="0.19685039370078741"/>
  <pageSetup paperSize="9" scale="92" orientation="landscape" r:id="rId1"/>
  <headerFooter>
    <oddFooter>&amp;C&amp;"맑은 고딕,Regular"&amp;P</oddFooter>
  </headerFooter>
  <rowBreaks count="3" manualBreakCount="3">
    <brk id="30" max="1048575" man="1"/>
    <brk id="57" max="25" man="1"/>
    <brk id="84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AG393"/>
  <sheetViews>
    <sheetView view="pageBreakPreview" zoomScaleNormal="100" zoomScaleSheetLayoutView="100" workbookViewId="0">
      <pane ySplit="4" topLeftCell="A5" activePane="bottomLeft" state="frozen"/>
      <selection pane="bottomLeft" activeCell="AE17" sqref="AE17"/>
    </sheetView>
  </sheetViews>
  <sheetFormatPr defaultColWidth="9" defaultRowHeight="17.25"/>
  <cols>
    <col min="1" max="1" width="7.125" style="47" customWidth="1"/>
    <col min="2" max="2" width="8.625" style="45" customWidth="1"/>
    <col min="3" max="3" width="13.625" style="45" customWidth="1"/>
    <col min="4" max="4" width="13.125" style="46" customWidth="1"/>
    <col min="5" max="5" width="13.125" style="47" customWidth="1"/>
    <col min="6" max="6" width="13.125" style="47" hidden="1" customWidth="1"/>
    <col min="7" max="7" width="10.625" style="48" customWidth="1"/>
    <col min="8" max="8" width="8.625" style="49" customWidth="1"/>
    <col min="9" max="9" width="21.25" style="50" customWidth="1"/>
    <col min="10" max="10" width="12.875" style="51" customWidth="1"/>
    <col min="11" max="11" width="3.125" style="52" customWidth="1"/>
    <col min="12" max="12" width="3.125" style="53" customWidth="1"/>
    <col min="13" max="13" width="4.25" style="53" customWidth="1"/>
    <col min="14" max="15" width="3.125" style="53" customWidth="1"/>
    <col min="16" max="16" width="14.625" style="51" customWidth="1"/>
    <col min="17" max="17" width="2.625" style="52" customWidth="1"/>
    <col min="18" max="29" width="12.5" style="54" hidden="1" customWidth="1"/>
    <col min="30" max="30" width="13.625" style="55" bestFit="1" customWidth="1"/>
    <col min="31" max="31" width="13.125" style="56" customWidth="1"/>
    <col min="32" max="32" width="12.625" style="56" customWidth="1"/>
    <col min="33" max="33" width="12.625" style="54" customWidth="1"/>
    <col min="34" max="16384" width="9" style="54"/>
  </cols>
  <sheetData>
    <row r="1" spans="1:32" ht="20.25">
      <c r="A1" s="44" t="s">
        <v>226</v>
      </c>
      <c r="B1" s="44"/>
    </row>
    <row r="2" spans="1:32" ht="12.75" customHeight="1" thickBot="1">
      <c r="A2" s="57"/>
      <c r="B2" s="57"/>
      <c r="C2" s="58"/>
      <c r="D2" s="59"/>
      <c r="E2" s="60"/>
      <c r="F2" s="60"/>
      <c r="G2" s="61"/>
      <c r="H2" s="62"/>
      <c r="I2" s="58" t="s">
        <v>279</v>
      </c>
      <c r="J2" s="60"/>
      <c r="K2" s="58"/>
      <c r="L2" s="58"/>
      <c r="M2" s="58"/>
      <c r="N2" s="58"/>
      <c r="O2" s="63" t="s">
        <v>399</v>
      </c>
      <c r="P2" s="63"/>
      <c r="Q2" s="63"/>
    </row>
    <row r="3" spans="1:32" ht="17.25" customHeight="1">
      <c r="A3" s="64" t="s">
        <v>247</v>
      </c>
      <c r="B3" s="65" t="s">
        <v>254</v>
      </c>
      <c r="C3" s="66" t="s">
        <v>243</v>
      </c>
      <c r="D3" s="67" t="s">
        <v>498</v>
      </c>
      <c r="E3" s="67" t="s">
        <v>499</v>
      </c>
      <c r="F3" s="68" t="s">
        <v>2</v>
      </c>
      <c r="G3" s="69" t="s">
        <v>42</v>
      </c>
      <c r="H3" s="69"/>
      <c r="I3" s="66" t="s">
        <v>546</v>
      </c>
      <c r="J3" s="66"/>
      <c r="K3" s="66"/>
      <c r="L3" s="66"/>
      <c r="M3" s="66"/>
      <c r="N3" s="66"/>
      <c r="O3" s="66"/>
      <c r="P3" s="66"/>
      <c r="Q3" s="66"/>
    </row>
    <row r="4" spans="1:32" ht="20.25" customHeight="1" thickBot="1">
      <c r="A4" s="70"/>
      <c r="B4" s="71"/>
      <c r="C4" s="72"/>
      <c r="D4" s="73"/>
      <c r="E4" s="73"/>
      <c r="F4" s="74"/>
      <c r="G4" s="75" t="s">
        <v>261</v>
      </c>
      <c r="H4" s="76" t="s">
        <v>285</v>
      </c>
      <c r="I4" s="72"/>
      <c r="J4" s="72"/>
      <c r="K4" s="72"/>
      <c r="L4" s="72"/>
      <c r="M4" s="72"/>
      <c r="N4" s="72"/>
      <c r="O4" s="72"/>
      <c r="P4" s="72"/>
      <c r="Q4" s="72"/>
    </row>
    <row r="5" spans="1:32" ht="24.95" customHeight="1" thickBot="1">
      <c r="A5" s="77" t="s">
        <v>276</v>
      </c>
      <c r="B5" s="78"/>
      <c r="C5" s="79"/>
      <c r="D5" s="80">
        <f>SUM(D6,D78,D86,D273,D268,D374,D262)</f>
        <v>8953155.9099300001</v>
      </c>
      <c r="E5" s="81">
        <f>SUM(E6,E78,E86,E273,E268,E374,E262)</f>
        <v>8924828.5667250007</v>
      </c>
      <c r="F5" s="82" t="e">
        <f>SUM(F6,F78,F86,F273,F268,F374)</f>
        <v>#REF!</v>
      </c>
      <c r="G5" s="83">
        <f>+E5-D5</f>
        <v>-28327.343204999343</v>
      </c>
      <c r="H5" s="84">
        <f t="shared" ref="H5:H37" si="0">+G5/D5*100</f>
        <v>-0.31639506214318586</v>
      </c>
      <c r="I5" s="85"/>
      <c r="J5" s="86"/>
      <c r="K5" s="87"/>
      <c r="L5" s="87"/>
      <c r="M5" s="86"/>
      <c r="N5" s="86"/>
      <c r="O5" s="88"/>
      <c r="P5" s="89">
        <f>SUM(P6,P78,P86,P273,P268,P374,P262)</f>
        <v>8924828566.7250004</v>
      </c>
      <c r="Q5" s="90" t="s">
        <v>245</v>
      </c>
    </row>
    <row r="6" spans="1:32" ht="20.100000000000001" customHeight="1" thickTop="1" thickBot="1">
      <c r="A6" s="91" t="s">
        <v>260</v>
      </c>
      <c r="B6" s="92" t="s">
        <v>265</v>
      </c>
      <c r="C6" s="93"/>
      <c r="D6" s="94">
        <f>SUM(D7,D36,D49)</f>
        <v>1395904</v>
      </c>
      <c r="E6" s="95">
        <f>SUM(E7,E36,E49)+1</f>
        <v>1321865.0798249999</v>
      </c>
      <c r="F6" s="96">
        <f>SUM(F7,F36,F49)</f>
        <v>869305</v>
      </c>
      <c r="G6" s="97">
        <f>+E6-D6</f>
        <v>-74038.920175000094</v>
      </c>
      <c r="H6" s="98">
        <f t="shared" si="0"/>
        <v>-5.304012322838827</v>
      </c>
      <c r="I6" s="99"/>
      <c r="J6" s="100"/>
      <c r="K6" s="101"/>
      <c r="L6" s="102"/>
      <c r="M6" s="102"/>
      <c r="N6" s="102"/>
      <c r="O6" s="102"/>
      <c r="P6" s="103">
        <f>SUM(P7,P36,P49)</f>
        <v>1321865079.825</v>
      </c>
      <c r="Q6" s="104" t="s">
        <v>245</v>
      </c>
    </row>
    <row r="7" spans="1:32" ht="20.100000000000001" customHeight="1" thickTop="1" thickBot="1">
      <c r="A7" s="105"/>
      <c r="B7" s="106" t="s">
        <v>256</v>
      </c>
      <c r="C7" s="107" t="s">
        <v>258</v>
      </c>
      <c r="D7" s="108">
        <f>SUM(D8:D34)</f>
        <v>1053804</v>
      </c>
      <c r="E7" s="109">
        <f>SUM(E8:E34)</f>
        <v>977314.57982500002</v>
      </c>
      <c r="F7" s="110">
        <f>SUM(F8:F34)-1</f>
        <v>582084</v>
      </c>
      <c r="G7" s="111">
        <f>+E7-D7</f>
        <v>-76489.420174999977</v>
      </c>
      <c r="H7" s="112">
        <f t="shared" si="0"/>
        <v>-7.2584104990111991</v>
      </c>
      <c r="I7" s="113"/>
      <c r="J7" s="114"/>
      <c r="K7" s="115"/>
      <c r="L7" s="116"/>
      <c r="M7" s="116"/>
      <c r="N7" s="116"/>
      <c r="O7" s="116"/>
      <c r="P7" s="114">
        <f>SUM(P8,P13,P21,P23,P29)</f>
        <v>977314579.82500005</v>
      </c>
      <c r="Q7" s="117" t="s">
        <v>245</v>
      </c>
      <c r="R7" s="118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</row>
    <row r="8" spans="1:32" ht="15.95" customHeight="1" thickTop="1" thickBot="1">
      <c r="A8" s="105"/>
      <c r="B8" s="119"/>
      <c r="C8" s="120" t="s">
        <v>291</v>
      </c>
      <c r="D8" s="121">
        <v>749704</v>
      </c>
      <c r="E8" s="122">
        <f>P8/1000</f>
        <v>696814.999985</v>
      </c>
      <c r="F8" s="123">
        <v>351377</v>
      </c>
      <c r="G8" s="122">
        <f>E8-D8</f>
        <v>-52889.000014999998</v>
      </c>
      <c r="H8" s="124">
        <f t="shared" si="0"/>
        <v>-7.054650904223533</v>
      </c>
      <c r="I8" s="125"/>
      <c r="J8" s="126"/>
      <c r="K8" s="127"/>
      <c r="L8" s="128"/>
      <c r="M8" s="128" t="s">
        <v>253</v>
      </c>
      <c r="N8" s="128"/>
      <c r="O8" s="128"/>
      <c r="P8" s="126">
        <f>SUM(P9:P12)</f>
        <v>696814999.98500001</v>
      </c>
      <c r="Q8" s="129" t="s">
        <v>245</v>
      </c>
      <c r="R8" s="55"/>
      <c r="S8" s="130"/>
      <c r="T8" s="55"/>
      <c r="U8" s="55"/>
      <c r="V8" s="55"/>
      <c r="W8" s="55"/>
      <c r="X8" s="55"/>
      <c r="Y8" s="55"/>
      <c r="Z8" s="55"/>
      <c r="AA8" s="55"/>
      <c r="AB8" s="55"/>
      <c r="AC8" s="55"/>
    </row>
    <row r="9" spans="1:32" ht="15.95" customHeight="1">
      <c r="A9" s="105"/>
      <c r="B9" s="119"/>
      <c r="C9" s="131"/>
      <c r="D9" s="132"/>
      <c r="E9" s="133"/>
      <c r="F9" s="134"/>
      <c r="G9" s="133"/>
      <c r="H9" s="135"/>
      <c r="I9" s="136" t="s">
        <v>275</v>
      </c>
      <c r="J9" s="114">
        <v>32993250</v>
      </c>
      <c r="K9" s="115" t="s">
        <v>245</v>
      </c>
      <c r="L9" s="137" t="s">
        <v>251</v>
      </c>
      <c r="M9" s="116">
        <v>12</v>
      </c>
      <c r="N9" s="116" t="s">
        <v>246</v>
      </c>
      <c r="O9" s="138" t="s">
        <v>257</v>
      </c>
      <c r="P9" s="139">
        <f>J9*M9</f>
        <v>395919000</v>
      </c>
      <c r="Q9" s="17" t="s">
        <v>245</v>
      </c>
      <c r="R9" s="55"/>
      <c r="S9" s="140"/>
      <c r="T9" s="55"/>
      <c r="U9" s="55"/>
      <c r="V9" s="55"/>
      <c r="W9" s="55"/>
      <c r="X9" s="55"/>
      <c r="Y9" s="55"/>
      <c r="Z9" s="55"/>
      <c r="AA9" s="55"/>
      <c r="AB9" s="55"/>
      <c r="AC9" s="55"/>
    </row>
    <row r="10" spans="1:32" ht="15.95" customHeight="1">
      <c r="A10" s="105"/>
      <c r="B10" s="119"/>
      <c r="C10" s="131"/>
      <c r="D10" s="132"/>
      <c r="E10" s="133"/>
      <c r="F10" s="134"/>
      <c r="G10" s="133"/>
      <c r="H10" s="135"/>
      <c r="I10" s="136" t="s">
        <v>153</v>
      </c>
      <c r="J10" s="114">
        <v>33137333.329999998</v>
      </c>
      <c r="K10" s="115" t="s">
        <v>245</v>
      </c>
      <c r="L10" s="137" t="s">
        <v>251</v>
      </c>
      <c r="M10" s="116">
        <v>4.5</v>
      </c>
      <c r="N10" s="116" t="s">
        <v>255</v>
      </c>
      <c r="O10" s="138" t="s">
        <v>257</v>
      </c>
      <c r="P10" s="114">
        <f>J10*M10</f>
        <v>149117999.98499998</v>
      </c>
      <c r="Q10" s="17" t="s">
        <v>245</v>
      </c>
      <c r="R10" s="55"/>
      <c r="S10" s="140"/>
      <c r="T10" s="55"/>
      <c r="U10" s="55"/>
      <c r="V10" s="55"/>
      <c r="W10" s="55"/>
      <c r="X10" s="55"/>
      <c r="Y10" s="55"/>
      <c r="Z10" s="55"/>
      <c r="AA10" s="55"/>
      <c r="AB10" s="55"/>
      <c r="AC10" s="55"/>
    </row>
    <row r="11" spans="1:32" ht="15.95" customHeight="1">
      <c r="A11" s="105"/>
      <c r="B11" s="119"/>
      <c r="C11" s="131"/>
      <c r="D11" s="132"/>
      <c r="E11" s="133"/>
      <c r="F11" s="141"/>
      <c r="G11" s="133"/>
      <c r="H11" s="135"/>
      <c r="I11" s="136" t="s">
        <v>71</v>
      </c>
      <c r="J11" s="114">
        <v>33054000</v>
      </c>
      <c r="K11" s="115" t="s">
        <v>245</v>
      </c>
      <c r="L11" s="137" t="s">
        <v>251</v>
      </c>
      <c r="M11" s="116">
        <v>2</v>
      </c>
      <c r="N11" s="116" t="s">
        <v>255</v>
      </c>
      <c r="O11" s="138" t="s">
        <v>257</v>
      </c>
      <c r="P11" s="114">
        <f>J11*M11</f>
        <v>66108000</v>
      </c>
      <c r="Q11" s="17" t="s">
        <v>245</v>
      </c>
      <c r="R11" s="55"/>
      <c r="S11" s="140"/>
      <c r="T11" s="55"/>
      <c r="U11" s="55"/>
      <c r="V11" s="55"/>
      <c r="W11" s="55"/>
      <c r="X11" s="55"/>
      <c r="Y11" s="55"/>
      <c r="Z11" s="55"/>
      <c r="AA11" s="55"/>
      <c r="AB11" s="55"/>
      <c r="AC11" s="55"/>
    </row>
    <row r="12" spans="1:32" ht="15.95" customHeight="1">
      <c r="A12" s="105"/>
      <c r="B12" s="119"/>
      <c r="C12" s="142"/>
      <c r="D12" s="143"/>
      <c r="E12" s="144"/>
      <c r="F12" s="134"/>
      <c r="G12" s="144"/>
      <c r="H12" s="145"/>
      <c r="I12" s="146" t="s">
        <v>14</v>
      </c>
      <c r="J12" s="114">
        <v>8567000</v>
      </c>
      <c r="K12" s="115" t="s">
        <v>245</v>
      </c>
      <c r="L12" s="137" t="s">
        <v>251</v>
      </c>
      <c r="M12" s="116">
        <v>10</v>
      </c>
      <c r="N12" s="116" t="s">
        <v>246</v>
      </c>
      <c r="O12" s="138" t="s">
        <v>257</v>
      </c>
      <c r="P12" s="114">
        <f>J12*M12</f>
        <v>85670000</v>
      </c>
      <c r="Q12" s="17" t="s">
        <v>245</v>
      </c>
      <c r="R12" s="55"/>
      <c r="S12" s="140"/>
      <c r="T12" s="55"/>
      <c r="U12" s="55"/>
      <c r="V12" s="55"/>
      <c r="W12" s="55"/>
      <c r="X12" s="55"/>
      <c r="Y12" s="55"/>
      <c r="Z12" s="55"/>
      <c r="AA12" s="55"/>
      <c r="AB12" s="55"/>
      <c r="AC12" s="55"/>
    </row>
    <row r="13" spans="1:32" s="52" customFormat="1" ht="15.95" customHeight="1">
      <c r="A13" s="147"/>
      <c r="B13" s="119"/>
      <c r="C13" s="120" t="s">
        <v>241</v>
      </c>
      <c r="D13" s="148">
        <v>121896</v>
      </c>
      <c r="E13" s="149">
        <f>+P13/1000</f>
        <v>112893.99984</v>
      </c>
      <c r="F13" s="150">
        <v>102644</v>
      </c>
      <c r="G13" s="122">
        <f t="shared" ref="G13:G58" si="1">+E13-D13</f>
        <v>-9002.000159999996</v>
      </c>
      <c r="H13" s="151">
        <f t="shared" si="0"/>
        <v>-7.3849840519787326</v>
      </c>
      <c r="I13" s="125"/>
      <c r="J13" s="126"/>
      <c r="K13" s="127"/>
      <c r="L13" s="128"/>
      <c r="M13" s="152" t="s">
        <v>253</v>
      </c>
      <c r="N13" s="152"/>
      <c r="O13" s="152"/>
      <c r="P13" s="126">
        <f>SUM(P14:P20)</f>
        <v>112893999.84</v>
      </c>
      <c r="Q13" s="129" t="s">
        <v>245</v>
      </c>
      <c r="AD13" s="55"/>
      <c r="AE13" s="56"/>
      <c r="AF13" s="56"/>
    </row>
    <row r="14" spans="1:32" s="52" customFormat="1" ht="15.95" customHeight="1">
      <c r="A14" s="147"/>
      <c r="B14" s="119"/>
      <c r="C14" s="131"/>
      <c r="D14" s="153"/>
      <c r="E14" s="154"/>
      <c r="F14" s="155"/>
      <c r="G14" s="133"/>
      <c r="H14" s="156"/>
      <c r="I14" s="136" t="s">
        <v>298</v>
      </c>
      <c r="J14" s="114">
        <v>3299333.33</v>
      </c>
      <c r="K14" s="115" t="s">
        <v>245</v>
      </c>
      <c r="L14" s="137" t="s">
        <v>251</v>
      </c>
      <c r="M14" s="116">
        <v>12</v>
      </c>
      <c r="N14" s="116" t="s">
        <v>246</v>
      </c>
      <c r="O14" s="138" t="s">
        <v>257</v>
      </c>
      <c r="P14" s="114">
        <f>(J14*M14)</f>
        <v>39591999.960000001</v>
      </c>
      <c r="Q14" s="17" t="s">
        <v>245</v>
      </c>
      <c r="AD14" s="55"/>
      <c r="AE14" s="56"/>
      <c r="AF14" s="56"/>
    </row>
    <row r="15" spans="1:32" s="52" customFormat="1" ht="15.95" customHeight="1">
      <c r="A15" s="147"/>
      <c r="B15" s="119"/>
      <c r="C15" s="131"/>
      <c r="D15" s="153"/>
      <c r="E15" s="154"/>
      <c r="F15" s="155"/>
      <c r="G15" s="133"/>
      <c r="H15" s="156"/>
      <c r="I15" s="136" t="s">
        <v>274</v>
      </c>
      <c r="J15" s="114">
        <v>880833.33</v>
      </c>
      <c r="K15" s="115" t="s">
        <v>245</v>
      </c>
      <c r="L15" s="137" t="s">
        <v>251</v>
      </c>
      <c r="M15" s="116">
        <v>12</v>
      </c>
      <c r="N15" s="116" t="s">
        <v>246</v>
      </c>
      <c r="O15" s="138" t="s">
        <v>257</v>
      </c>
      <c r="P15" s="114">
        <f t="shared" ref="P15:P20" si="2">(J15*M15)</f>
        <v>10569999.959999999</v>
      </c>
      <c r="Q15" s="17" t="s">
        <v>245</v>
      </c>
      <c r="AD15" s="55"/>
      <c r="AE15" s="56"/>
      <c r="AF15" s="56"/>
    </row>
    <row r="16" spans="1:32" s="52" customFormat="1" ht="15.95" customHeight="1">
      <c r="A16" s="147"/>
      <c r="B16" s="119"/>
      <c r="C16" s="131"/>
      <c r="D16" s="153"/>
      <c r="E16" s="154"/>
      <c r="F16" s="155"/>
      <c r="G16" s="133"/>
      <c r="H16" s="156"/>
      <c r="I16" s="136" t="s">
        <v>282</v>
      </c>
      <c r="J16" s="114">
        <v>1676000</v>
      </c>
      <c r="K16" s="115" t="s">
        <v>245</v>
      </c>
      <c r="L16" s="137" t="s">
        <v>251</v>
      </c>
      <c r="M16" s="116">
        <v>12</v>
      </c>
      <c r="N16" s="116" t="s">
        <v>246</v>
      </c>
      <c r="O16" s="138" t="s">
        <v>257</v>
      </c>
      <c r="P16" s="114">
        <f t="shared" si="2"/>
        <v>20112000</v>
      </c>
      <c r="Q16" s="17" t="s">
        <v>245</v>
      </c>
      <c r="AD16" s="55"/>
      <c r="AE16" s="56"/>
      <c r="AF16" s="56"/>
    </row>
    <row r="17" spans="1:32" s="52" customFormat="1" ht="15.95" customHeight="1">
      <c r="A17" s="147"/>
      <c r="B17" s="119"/>
      <c r="C17" s="131"/>
      <c r="D17" s="153"/>
      <c r="E17" s="154"/>
      <c r="F17" s="155"/>
      <c r="G17" s="133"/>
      <c r="H17" s="156"/>
      <c r="I17" s="136" t="s">
        <v>268</v>
      </c>
      <c r="J17" s="114">
        <v>1310000</v>
      </c>
      <c r="K17" s="115" t="s">
        <v>245</v>
      </c>
      <c r="L17" s="137" t="s">
        <v>251</v>
      </c>
      <c r="M17" s="116">
        <v>12</v>
      </c>
      <c r="N17" s="116" t="s">
        <v>246</v>
      </c>
      <c r="O17" s="138" t="s">
        <v>257</v>
      </c>
      <c r="P17" s="114">
        <f t="shared" si="2"/>
        <v>15720000</v>
      </c>
      <c r="Q17" s="17" t="s">
        <v>245</v>
      </c>
      <c r="AD17" s="55"/>
      <c r="AE17" s="56"/>
      <c r="AF17" s="56"/>
    </row>
    <row r="18" spans="1:32" s="52" customFormat="1" ht="15.95" customHeight="1">
      <c r="A18" s="147"/>
      <c r="B18" s="119"/>
      <c r="C18" s="131"/>
      <c r="D18" s="153"/>
      <c r="E18" s="154"/>
      <c r="F18" s="155"/>
      <c r="G18" s="133"/>
      <c r="H18" s="156"/>
      <c r="I18" s="136" t="s">
        <v>294</v>
      </c>
      <c r="J18" s="114">
        <v>1541666.66</v>
      </c>
      <c r="K18" s="115" t="s">
        <v>245</v>
      </c>
      <c r="L18" s="137" t="s">
        <v>251</v>
      </c>
      <c r="M18" s="116">
        <v>12</v>
      </c>
      <c r="N18" s="116" t="s">
        <v>246</v>
      </c>
      <c r="O18" s="138" t="s">
        <v>257</v>
      </c>
      <c r="P18" s="114">
        <f t="shared" si="2"/>
        <v>18499999.919999998</v>
      </c>
      <c r="Q18" s="17" t="s">
        <v>245</v>
      </c>
      <c r="AD18" s="55"/>
      <c r="AE18" s="56"/>
      <c r="AF18" s="56"/>
    </row>
    <row r="19" spans="1:32" s="52" customFormat="1" ht="15.95" customHeight="1">
      <c r="A19" s="147"/>
      <c r="B19" s="119"/>
      <c r="C19" s="131"/>
      <c r="D19" s="153"/>
      <c r="E19" s="154"/>
      <c r="F19" s="155"/>
      <c r="G19" s="133"/>
      <c r="H19" s="156"/>
      <c r="I19" s="136" t="s">
        <v>93</v>
      </c>
      <c r="J19" s="114">
        <v>150000</v>
      </c>
      <c r="K19" s="115" t="s">
        <v>245</v>
      </c>
      <c r="L19" s="137" t="s">
        <v>251</v>
      </c>
      <c r="M19" s="116">
        <v>12</v>
      </c>
      <c r="N19" s="116" t="s">
        <v>246</v>
      </c>
      <c r="O19" s="138" t="s">
        <v>257</v>
      </c>
      <c r="P19" s="114">
        <f t="shared" si="2"/>
        <v>1800000</v>
      </c>
      <c r="Q19" s="17" t="s">
        <v>245</v>
      </c>
      <c r="AD19" s="55"/>
      <c r="AE19" s="56"/>
      <c r="AF19" s="56"/>
    </row>
    <row r="20" spans="1:32" s="52" customFormat="1" ht="15.95" customHeight="1">
      <c r="A20" s="147"/>
      <c r="B20" s="119"/>
      <c r="C20" s="131"/>
      <c r="D20" s="153"/>
      <c r="E20" s="154"/>
      <c r="F20" s="134"/>
      <c r="G20" s="133"/>
      <c r="H20" s="156"/>
      <c r="I20" s="157" t="s">
        <v>362</v>
      </c>
      <c r="J20" s="114">
        <v>3300000</v>
      </c>
      <c r="K20" s="115" t="s">
        <v>245</v>
      </c>
      <c r="L20" s="137" t="s">
        <v>251</v>
      </c>
      <c r="M20" s="116">
        <v>2</v>
      </c>
      <c r="N20" s="116" t="s">
        <v>255</v>
      </c>
      <c r="O20" s="138" t="s">
        <v>257</v>
      </c>
      <c r="P20" s="114">
        <f t="shared" si="2"/>
        <v>6600000</v>
      </c>
      <c r="Q20" s="17" t="s">
        <v>245</v>
      </c>
      <c r="AD20" s="55"/>
      <c r="AE20" s="56"/>
      <c r="AF20" s="56"/>
    </row>
    <row r="21" spans="1:32" s="52" customFormat="1" ht="15.95" customHeight="1">
      <c r="A21" s="147"/>
      <c r="B21" s="119"/>
      <c r="C21" s="120" t="s">
        <v>101</v>
      </c>
      <c r="D21" s="148">
        <v>66394</v>
      </c>
      <c r="E21" s="149">
        <f>(+P21/1000)</f>
        <v>61161.58</v>
      </c>
      <c r="F21" s="150">
        <v>48032</v>
      </c>
      <c r="G21" s="122">
        <f>E21-D21</f>
        <v>-5232.4199999999983</v>
      </c>
      <c r="H21" s="151">
        <f t="shared" si="0"/>
        <v>-7.8808627285598067</v>
      </c>
      <c r="I21" s="158"/>
      <c r="J21" s="126"/>
      <c r="K21" s="127"/>
      <c r="L21" s="127"/>
      <c r="M21" s="152" t="s">
        <v>253</v>
      </c>
      <c r="N21" s="152"/>
      <c r="O21" s="152"/>
      <c r="P21" s="126">
        <f>SUM(P22:P22)</f>
        <v>61161580</v>
      </c>
      <c r="Q21" s="129" t="s">
        <v>245</v>
      </c>
      <c r="AD21" s="55"/>
      <c r="AE21" s="56"/>
      <c r="AF21" s="56"/>
    </row>
    <row r="22" spans="1:32" s="52" customFormat="1" ht="15.95" customHeight="1">
      <c r="A22" s="147"/>
      <c r="B22" s="119"/>
      <c r="C22" s="142"/>
      <c r="D22" s="159"/>
      <c r="E22" s="160"/>
      <c r="F22" s="161"/>
      <c r="G22" s="144">
        <f t="shared" si="1"/>
        <v>0</v>
      </c>
      <c r="H22" s="162" t="e">
        <f t="shared" si="0"/>
        <v>#DIV/0!</v>
      </c>
      <c r="I22" s="136" t="s">
        <v>101</v>
      </c>
      <c r="J22" s="114">
        <f>SUM(P8,P13,P33)-P12</f>
        <v>733938999.82500005</v>
      </c>
      <c r="K22" s="163" t="s">
        <v>245</v>
      </c>
      <c r="L22" s="116" t="s">
        <v>290</v>
      </c>
      <c r="M22" s="116">
        <v>12</v>
      </c>
      <c r="N22" s="116"/>
      <c r="O22" s="138" t="s">
        <v>257</v>
      </c>
      <c r="P22" s="114">
        <f>ROUND(J22/12,-1)</f>
        <v>61161580</v>
      </c>
      <c r="Q22" s="17" t="s">
        <v>245</v>
      </c>
      <c r="AD22" s="55"/>
      <c r="AE22" s="56"/>
      <c r="AF22" s="56"/>
    </row>
    <row r="23" spans="1:32" s="52" customFormat="1" ht="15.95" customHeight="1">
      <c r="A23" s="147"/>
      <c r="B23" s="119"/>
      <c r="C23" s="164" t="s">
        <v>442</v>
      </c>
      <c r="D23" s="165">
        <v>91810</v>
      </c>
      <c r="E23" s="166">
        <f>+P23/1000</f>
        <v>85344</v>
      </c>
      <c r="F23" s="167">
        <v>55737</v>
      </c>
      <c r="G23" s="168">
        <f t="shared" si="1"/>
        <v>-6466</v>
      </c>
      <c r="H23" s="169">
        <f t="shared" si="0"/>
        <v>-7.0428057945757541</v>
      </c>
      <c r="I23" s="158"/>
      <c r="J23" s="126"/>
      <c r="K23" s="127"/>
      <c r="L23" s="128"/>
      <c r="M23" s="152" t="s">
        <v>253</v>
      </c>
      <c r="N23" s="152"/>
      <c r="O23" s="152"/>
      <c r="P23" s="126">
        <f>SUM(P24:P28)</f>
        <v>85344000</v>
      </c>
      <c r="Q23" s="129" t="s">
        <v>245</v>
      </c>
      <c r="AD23" s="55"/>
      <c r="AE23" s="56"/>
      <c r="AF23" s="56"/>
    </row>
    <row r="24" spans="1:32" s="52" customFormat="1" ht="15.95" customHeight="1">
      <c r="A24" s="147"/>
      <c r="B24" s="119"/>
      <c r="C24" s="164"/>
      <c r="D24" s="165"/>
      <c r="E24" s="166"/>
      <c r="F24" s="167"/>
      <c r="G24" s="168">
        <f t="shared" si="1"/>
        <v>0</v>
      </c>
      <c r="H24" s="169" t="e">
        <f t="shared" si="0"/>
        <v>#DIV/0!</v>
      </c>
      <c r="I24" s="157" t="s">
        <v>121</v>
      </c>
      <c r="J24" s="114">
        <f>SUM(P8,P13,P33)-P18+22200000</f>
        <v>823308999.90500009</v>
      </c>
      <c r="K24" s="115" t="s">
        <v>245</v>
      </c>
      <c r="L24" s="137" t="s">
        <v>251</v>
      </c>
      <c r="M24" s="170">
        <v>4.4999999999999998E-2</v>
      </c>
      <c r="N24" s="170"/>
      <c r="O24" s="138" t="s">
        <v>257</v>
      </c>
      <c r="P24" s="114">
        <f>ROUNDUP(SUM(J24*M24),-3)</f>
        <v>37049000</v>
      </c>
      <c r="Q24" s="17" t="s">
        <v>245</v>
      </c>
      <c r="AD24" s="51"/>
      <c r="AE24" s="56"/>
      <c r="AF24" s="56"/>
    </row>
    <row r="25" spans="1:32" s="52" customFormat="1" ht="15.95" customHeight="1">
      <c r="A25" s="147"/>
      <c r="B25" s="119"/>
      <c r="C25" s="164"/>
      <c r="D25" s="165"/>
      <c r="E25" s="166"/>
      <c r="F25" s="167"/>
      <c r="G25" s="168">
        <f t="shared" si="1"/>
        <v>0</v>
      </c>
      <c r="H25" s="169" t="e">
        <f t="shared" si="0"/>
        <v>#DIV/0!</v>
      </c>
      <c r="I25" s="157" t="s">
        <v>164</v>
      </c>
      <c r="J25" s="114">
        <f>+J24</f>
        <v>823308999.90500009</v>
      </c>
      <c r="K25" s="115" t="s">
        <v>245</v>
      </c>
      <c r="L25" s="137" t="s">
        <v>251</v>
      </c>
      <c r="M25" s="171">
        <v>3.3349999999999998E-2</v>
      </c>
      <c r="N25" s="171"/>
      <c r="O25" s="116" t="s">
        <v>257</v>
      </c>
      <c r="P25" s="114">
        <f>ROUNDUP(SUM(J25*M25),-3)</f>
        <v>27458000</v>
      </c>
      <c r="Q25" s="17" t="s">
        <v>245</v>
      </c>
      <c r="AD25" s="51"/>
      <c r="AE25" s="56"/>
      <c r="AF25" s="56"/>
    </row>
    <row r="26" spans="1:32" s="52" customFormat="1" ht="15.95" customHeight="1">
      <c r="A26" s="147"/>
      <c r="B26" s="119"/>
      <c r="C26" s="164"/>
      <c r="D26" s="165"/>
      <c r="E26" s="166"/>
      <c r="F26" s="167"/>
      <c r="G26" s="168">
        <f t="shared" si="1"/>
        <v>0</v>
      </c>
      <c r="H26" s="169" t="e">
        <f t="shared" si="0"/>
        <v>#DIV/0!</v>
      </c>
      <c r="I26" s="157" t="s">
        <v>155</v>
      </c>
      <c r="J26" s="114">
        <f>+P25</f>
        <v>27458000</v>
      </c>
      <c r="K26" s="115" t="s">
        <v>245</v>
      </c>
      <c r="L26" s="137" t="s">
        <v>251</v>
      </c>
      <c r="M26" s="171">
        <v>0.10249999999999999</v>
      </c>
      <c r="N26" s="171"/>
      <c r="O26" s="116" t="s">
        <v>257</v>
      </c>
      <c r="P26" s="114">
        <f>ROUNDUP(SUM(J26*M26),-3)</f>
        <v>2815000</v>
      </c>
      <c r="Q26" s="17" t="s">
        <v>245</v>
      </c>
      <c r="AD26" s="51"/>
      <c r="AE26" s="56"/>
      <c r="AF26" s="56"/>
    </row>
    <row r="27" spans="1:32" s="52" customFormat="1" ht="15.95" customHeight="1">
      <c r="A27" s="147"/>
      <c r="B27" s="119"/>
      <c r="C27" s="164"/>
      <c r="D27" s="165"/>
      <c r="E27" s="166"/>
      <c r="F27" s="167"/>
      <c r="G27" s="168">
        <f t="shared" si="1"/>
        <v>0</v>
      </c>
      <c r="H27" s="169" t="e">
        <f t="shared" si="0"/>
        <v>#DIV/0!</v>
      </c>
      <c r="I27" s="157" t="s">
        <v>124</v>
      </c>
      <c r="J27" s="114">
        <f>SUM(P8,P13,P33)-P12-P18+22200000</f>
        <v>737638999.90500009</v>
      </c>
      <c r="K27" s="115" t="s">
        <v>245</v>
      </c>
      <c r="L27" s="137" t="s">
        <v>251</v>
      </c>
      <c r="M27" s="171">
        <v>1.6500000000000001E-2</v>
      </c>
      <c r="N27" s="171"/>
      <c r="O27" s="116" t="s">
        <v>257</v>
      </c>
      <c r="P27" s="114">
        <f>ROUNDUP(SUM(J27*M27),-3)</f>
        <v>12172000</v>
      </c>
      <c r="Q27" s="17" t="s">
        <v>245</v>
      </c>
      <c r="AD27" s="51"/>
      <c r="AE27" s="56"/>
      <c r="AF27" s="56"/>
    </row>
    <row r="28" spans="1:32" s="52" customFormat="1" ht="15.95" customHeight="1">
      <c r="A28" s="147"/>
      <c r="B28" s="119"/>
      <c r="C28" s="164"/>
      <c r="D28" s="165"/>
      <c r="E28" s="166"/>
      <c r="F28" s="167"/>
      <c r="G28" s="168">
        <f t="shared" si="1"/>
        <v>0</v>
      </c>
      <c r="H28" s="169" t="e">
        <f t="shared" si="0"/>
        <v>#DIV/0!</v>
      </c>
      <c r="I28" s="172" t="s">
        <v>119</v>
      </c>
      <c r="J28" s="173">
        <f>J27</f>
        <v>737638999.90500009</v>
      </c>
      <c r="K28" s="14" t="s">
        <v>245</v>
      </c>
      <c r="L28" s="15" t="s">
        <v>251</v>
      </c>
      <c r="M28" s="174">
        <v>7.9299999999999995E-3</v>
      </c>
      <c r="N28" s="174"/>
      <c r="O28" s="16" t="s">
        <v>257</v>
      </c>
      <c r="P28" s="173">
        <f>ROUNDUP(SUM(J28*M28),-3)</f>
        <v>5850000</v>
      </c>
      <c r="Q28" s="175" t="s">
        <v>245</v>
      </c>
      <c r="AD28" s="51"/>
      <c r="AE28" s="56"/>
      <c r="AF28" s="56"/>
    </row>
    <row r="29" spans="1:32" s="52" customFormat="1" ht="15.95" customHeight="1">
      <c r="A29" s="147" t="s">
        <v>279</v>
      </c>
      <c r="B29" s="119"/>
      <c r="C29" s="120" t="s">
        <v>175</v>
      </c>
      <c r="D29" s="148">
        <v>24000</v>
      </c>
      <c r="E29" s="149">
        <f>+P29/1000</f>
        <v>21100</v>
      </c>
      <c r="F29" s="167">
        <v>24295</v>
      </c>
      <c r="G29" s="122">
        <f>+E29-D29</f>
        <v>-2900</v>
      </c>
      <c r="H29" s="151">
        <f t="shared" si="0"/>
        <v>-12.083333333333334</v>
      </c>
      <c r="I29" s="158"/>
      <c r="J29" s="126"/>
      <c r="K29" s="127"/>
      <c r="L29" s="128"/>
      <c r="M29" s="128" t="s">
        <v>253</v>
      </c>
      <c r="N29" s="128"/>
      <c r="O29" s="128"/>
      <c r="P29" s="126">
        <f>SUM(P30:P35)</f>
        <v>21100000</v>
      </c>
      <c r="Q29" s="129" t="s">
        <v>245</v>
      </c>
      <c r="AD29" s="51"/>
      <c r="AE29" s="56"/>
      <c r="AF29" s="56"/>
    </row>
    <row r="30" spans="1:32" s="52" customFormat="1" ht="15.95" customHeight="1">
      <c r="A30" s="147"/>
      <c r="B30" s="119"/>
      <c r="C30" s="131"/>
      <c r="D30" s="153"/>
      <c r="E30" s="154"/>
      <c r="F30" s="167"/>
      <c r="G30" s="133"/>
      <c r="H30" s="156"/>
      <c r="I30" s="157" t="s">
        <v>66</v>
      </c>
      <c r="J30" s="114">
        <v>0</v>
      </c>
      <c r="K30" s="115" t="s">
        <v>245</v>
      </c>
      <c r="L30" s="137" t="s">
        <v>251</v>
      </c>
      <c r="M30" s="116">
        <v>1</v>
      </c>
      <c r="N30" s="116" t="s">
        <v>255</v>
      </c>
      <c r="O30" s="138" t="s">
        <v>257</v>
      </c>
      <c r="P30" s="114">
        <f>SUM(J30*M30)</f>
        <v>0</v>
      </c>
      <c r="Q30" s="17" t="s">
        <v>245</v>
      </c>
      <c r="AD30" s="51"/>
      <c r="AE30" s="56"/>
      <c r="AF30" s="56"/>
    </row>
    <row r="31" spans="1:32" s="52" customFormat="1" ht="15.95" customHeight="1">
      <c r="A31" s="147"/>
      <c r="B31" s="119"/>
      <c r="C31" s="131"/>
      <c r="D31" s="153"/>
      <c r="E31" s="154"/>
      <c r="F31" s="167"/>
      <c r="G31" s="133"/>
      <c r="H31" s="156"/>
      <c r="I31" s="157" t="s">
        <v>154</v>
      </c>
      <c r="J31" s="114">
        <v>600000</v>
      </c>
      <c r="K31" s="115" t="s">
        <v>245</v>
      </c>
      <c r="L31" s="137" t="s">
        <v>251</v>
      </c>
      <c r="M31" s="116">
        <v>16</v>
      </c>
      <c r="N31" s="116" t="s">
        <v>287</v>
      </c>
      <c r="O31" s="138" t="s">
        <v>257</v>
      </c>
      <c r="P31" s="114">
        <f>SUM(J31*M31)</f>
        <v>9600000</v>
      </c>
      <c r="Q31" s="17" t="s">
        <v>245</v>
      </c>
      <c r="AD31" s="51"/>
      <c r="AE31" s="56"/>
      <c r="AF31" s="56"/>
    </row>
    <row r="32" spans="1:32" s="52" customFormat="1" ht="15.95" customHeight="1">
      <c r="A32" s="147"/>
      <c r="B32" s="119"/>
      <c r="C32" s="131"/>
      <c r="D32" s="153"/>
      <c r="E32" s="154"/>
      <c r="F32" s="167"/>
      <c r="G32" s="133"/>
      <c r="H32" s="156"/>
      <c r="I32" s="157" t="s">
        <v>200</v>
      </c>
      <c r="J32" s="114">
        <v>50000</v>
      </c>
      <c r="K32" s="115" t="s">
        <v>245</v>
      </c>
      <c r="L32" s="137" t="s">
        <v>251</v>
      </c>
      <c r="M32" s="116">
        <v>4</v>
      </c>
      <c r="N32" s="116" t="s">
        <v>255</v>
      </c>
      <c r="O32" s="138" t="s">
        <v>257</v>
      </c>
      <c r="P32" s="114">
        <f>+J32*M32</f>
        <v>200000</v>
      </c>
      <c r="Q32" s="17" t="s">
        <v>245</v>
      </c>
      <c r="AD32" s="51"/>
      <c r="AE32" s="56"/>
      <c r="AF32" s="56"/>
    </row>
    <row r="33" spans="1:32" s="52" customFormat="1" ht="15.95" customHeight="1">
      <c r="A33" s="147"/>
      <c r="B33" s="119"/>
      <c r="C33" s="131"/>
      <c r="D33" s="153"/>
      <c r="E33" s="154"/>
      <c r="F33" s="167"/>
      <c r="G33" s="133"/>
      <c r="H33" s="156"/>
      <c r="I33" s="157" t="s">
        <v>465</v>
      </c>
      <c r="J33" s="114">
        <v>3300000</v>
      </c>
      <c r="K33" s="115" t="s">
        <v>245</v>
      </c>
      <c r="L33" s="137" t="s">
        <v>251</v>
      </c>
      <c r="M33" s="116">
        <v>3</v>
      </c>
      <c r="N33" s="116" t="s">
        <v>255</v>
      </c>
      <c r="O33" s="138" t="s">
        <v>257</v>
      </c>
      <c r="P33" s="114">
        <f>+J33*M33</f>
        <v>9900000</v>
      </c>
      <c r="Q33" s="17" t="s">
        <v>245</v>
      </c>
      <c r="AD33" s="51"/>
      <c r="AE33" s="56"/>
      <c r="AF33" s="56"/>
    </row>
    <row r="34" spans="1:32" s="52" customFormat="1" ht="15.95" customHeight="1" thickBot="1">
      <c r="A34" s="147"/>
      <c r="B34" s="119"/>
      <c r="C34" s="131"/>
      <c r="D34" s="153"/>
      <c r="E34" s="154"/>
      <c r="F34" s="176"/>
      <c r="G34" s="133"/>
      <c r="H34" s="156"/>
      <c r="I34" s="157" t="s">
        <v>84</v>
      </c>
      <c r="J34" s="114">
        <v>500000</v>
      </c>
      <c r="K34" s="115" t="s">
        <v>245</v>
      </c>
      <c r="L34" s="137" t="s">
        <v>251</v>
      </c>
      <c r="M34" s="116">
        <v>1</v>
      </c>
      <c r="N34" s="116" t="s">
        <v>255</v>
      </c>
      <c r="O34" s="138" t="s">
        <v>257</v>
      </c>
      <c r="P34" s="114">
        <f>+J34*M34</f>
        <v>500000</v>
      </c>
      <c r="Q34" s="17" t="s">
        <v>245</v>
      </c>
      <c r="AD34" s="51"/>
      <c r="AE34" s="56"/>
      <c r="AF34" s="56"/>
    </row>
    <row r="35" spans="1:32" s="52" customFormat="1" ht="15.95" customHeight="1">
      <c r="A35" s="147"/>
      <c r="B35" s="177"/>
      <c r="C35" s="142"/>
      <c r="D35" s="159"/>
      <c r="E35" s="160"/>
      <c r="F35" s="141"/>
      <c r="G35" s="144"/>
      <c r="H35" s="162"/>
      <c r="I35" s="172" t="s">
        <v>193</v>
      </c>
      <c r="J35" s="173">
        <v>300000</v>
      </c>
      <c r="K35" s="14" t="s">
        <v>245</v>
      </c>
      <c r="L35" s="15" t="s">
        <v>251</v>
      </c>
      <c r="M35" s="16">
        <v>3</v>
      </c>
      <c r="N35" s="16" t="s">
        <v>255</v>
      </c>
      <c r="O35" s="178" t="s">
        <v>257</v>
      </c>
      <c r="P35" s="173">
        <f>+J35*M35</f>
        <v>900000</v>
      </c>
      <c r="Q35" s="175" t="s">
        <v>245</v>
      </c>
      <c r="AD35" s="51"/>
      <c r="AE35" s="56"/>
      <c r="AF35" s="56"/>
    </row>
    <row r="36" spans="1:32" s="52" customFormat="1" ht="20.100000000000001" customHeight="1">
      <c r="A36" s="91" t="s">
        <v>260</v>
      </c>
      <c r="B36" s="179" t="s">
        <v>259</v>
      </c>
      <c r="C36" s="107" t="s">
        <v>258</v>
      </c>
      <c r="D36" s="108">
        <f>SUM(D37,D40,D43)</f>
        <v>17050</v>
      </c>
      <c r="E36" s="109">
        <f>SUM(E37:E48)</f>
        <v>12800</v>
      </c>
      <c r="F36" s="110">
        <f>SUM(F37,F43)</f>
        <v>12549</v>
      </c>
      <c r="G36" s="111">
        <f t="shared" si="1"/>
        <v>-4250</v>
      </c>
      <c r="H36" s="112">
        <f t="shared" si="0"/>
        <v>-24.926686217008797</v>
      </c>
      <c r="I36" s="180"/>
      <c r="J36" s="114"/>
      <c r="K36" s="115"/>
      <c r="L36" s="116"/>
      <c r="M36" s="116"/>
      <c r="N36" s="116"/>
      <c r="O36" s="116"/>
      <c r="P36" s="114">
        <f>SUM(P37,P40,P43)</f>
        <v>12800000</v>
      </c>
      <c r="Q36" s="17" t="s">
        <v>245</v>
      </c>
      <c r="AD36" s="51"/>
      <c r="AE36" s="56"/>
      <c r="AF36" s="56"/>
    </row>
    <row r="37" spans="1:32" s="52" customFormat="1" ht="15.95" customHeight="1">
      <c r="A37" s="147"/>
      <c r="B37" s="106" t="s">
        <v>262</v>
      </c>
      <c r="C37" s="181" t="s">
        <v>40</v>
      </c>
      <c r="D37" s="148">
        <v>2750</v>
      </c>
      <c r="E37" s="149">
        <f>+P37/1000</f>
        <v>1300</v>
      </c>
      <c r="F37" s="150">
        <v>9823</v>
      </c>
      <c r="G37" s="122">
        <f t="shared" si="1"/>
        <v>-1450</v>
      </c>
      <c r="H37" s="151">
        <f t="shared" si="0"/>
        <v>-52.72727272727272</v>
      </c>
      <c r="I37" s="182"/>
      <c r="J37" s="126"/>
      <c r="K37" s="127"/>
      <c r="L37" s="128"/>
      <c r="M37" s="152" t="s">
        <v>253</v>
      </c>
      <c r="N37" s="152"/>
      <c r="O37" s="152"/>
      <c r="P37" s="126">
        <f>SUM(P38:P39)</f>
        <v>1300000</v>
      </c>
      <c r="Q37" s="129" t="s">
        <v>245</v>
      </c>
      <c r="AD37" s="51"/>
      <c r="AE37" s="56"/>
      <c r="AF37" s="56"/>
    </row>
    <row r="38" spans="1:32" s="52" customFormat="1" ht="15.95" customHeight="1">
      <c r="A38" s="147"/>
      <c r="B38" s="119"/>
      <c r="C38" s="183"/>
      <c r="D38" s="153"/>
      <c r="E38" s="154"/>
      <c r="F38" s="155"/>
      <c r="G38" s="133">
        <f t="shared" si="1"/>
        <v>0</v>
      </c>
      <c r="H38" s="156" t="e">
        <f>+G38/D38*100</f>
        <v>#DIV/0!</v>
      </c>
      <c r="I38" s="184" t="s">
        <v>55</v>
      </c>
      <c r="J38" s="114">
        <v>100000</v>
      </c>
      <c r="K38" s="115" t="s">
        <v>245</v>
      </c>
      <c r="L38" s="137" t="s">
        <v>251</v>
      </c>
      <c r="M38" s="116">
        <v>12</v>
      </c>
      <c r="N38" s="116" t="s">
        <v>246</v>
      </c>
      <c r="O38" s="138" t="s">
        <v>257</v>
      </c>
      <c r="P38" s="114">
        <f>SUM(J38*M38)</f>
        <v>1200000</v>
      </c>
      <c r="Q38" s="17" t="s">
        <v>245</v>
      </c>
      <c r="AD38" s="51"/>
      <c r="AE38" s="56"/>
      <c r="AF38" s="56"/>
    </row>
    <row r="39" spans="1:32" s="52" customFormat="1" ht="15.95" customHeight="1">
      <c r="A39" s="147"/>
      <c r="B39" s="119"/>
      <c r="C39" s="185"/>
      <c r="D39" s="159"/>
      <c r="E39" s="160"/>
      <c r="F39" s="161"/>
      <c r="G39" s="144">
        <f t="shared" si="1"/>
        <v>0</v>
      </c>
      <c r="H39" s="162" t="e">
        <f>+G39/D39*100</f>
        <v>#DIV/0!</v>
      </c>
      <c r="I39" s="186" t="s">
        <v>43</v>
      </c>
      <c r="J39" s="173">
        <v>20000</v>
      </c>
      <c r="K39" s="14" t="s">
        <v>245</v>
      </c>
      <c r="L39" s="15" t="s">
        <v>251</v>
      </c>
      <c r="M39" s="16">
        <v>5</v>
      </c>
      <c r="N39" s="16" t="s">
        <v>255</v>
      </c>
      <c r="O39" s="178" t="s">
        <v>257</v>
      </c>
      <c r="P39" s="173">
        <f>SUM(J39*M39)</f>
        <v>100000</v>
      </c>
      <c r="Q39" s="175" t="s">
        <v>245</v>
      </c>
      <c r="AD39" s="51"/>
      <c r="AE39" s="56"/>
      <c r="AF39" s="56"/>
    </row>
    <row r="40" spans="1:32" s="52" customFormat="1" ht="15.95" customHeight="1">
      <c r="A40" s="187"/>
      <c r="B40" s="106"/>
      <c r="C40" s="120" t="s">
        <v>156</v>
      </c>
      <c r="D40" s="148">
        <v>2600</v>
      </c>
      <c r="E40" s="149">
        <f>P40/1000</f>
        <v>1300</v>
      </c>
      <c r="F40" s="123"/>
      <c r="G40" s="122">
        <f>E40-D40</f>
        <v>-1300</v>
      </c>
      <c r="H40" s="151">
        <f>G40/D40*100</f>
        <v>-50</v>
      </c>
      <c r="I40" s="188"/>
      <c r="J40" s="126"/>
      <c r="K40" s="127"/>
      <c r="L40" s="128"/>
      <c r="M40" s="152" t="s">
        <v>253</v>
      </c>
      <c r="N40" s="152"/>
      <c r="O40" s="152"/>
      <c r="P40" s="126">
        <f>SUM(P41:P42)</f>
        <v>1300000</v>
      </c>
      <c r="Q40" s="129" t="s">
        <v>245</v>
      </c>
      <c r="AD40" s="51"/>
      <c r="AE40" s="56"/>
      <c r="AF40" s="56"/>
    </row>
    <row r="41" spans="1:32" s="52" customFormat="1" ht="15.95" customHeight="1">
      <c r="A41" s="147"/>
      <c r="B41" s="106"/>
      <c r="C41" s="131"/>
      <c r="D41" s="153"/>
      <c r="E41" s="154"/>
      <c r="F41" s="134"/>
      <c r="G41" s="133"/>
      <c r="H41" s="156"/>
      <c r="I41" s="184" t="s">
        <v>377</v>
      </c>
      <c r="J41" s="114">
        <v>250000</v>
      </c>
      <c r="K41" s="115" t="s">
        <v>245</v>
      </c>
      <c r="L41" s="137" t="s">
        <v>251</v>
      </c>
      <c r="M41" s="116">
        <v>2</v>
      </c>
      <c r="N41" s="116" t="s">
        <v>255</v>
      </c>
      <c r="O41" s="138" t="s">
        <v>257</v>
      </c>
      <c r="P41" s="114">
        <f>SUM(J41*M41)</f>
        <v>500000</v>
      </c>
      <c r="Q41" s="17" t="s">
        <v>245</v>
      </c>
      <c r="AD41" s="51"/>
      <c r="AE41" s="56"/>
      <c r="AF41" s="56"/>
    </row>
    <row r="42" spans="1:32" s="52" customFormat="1" ht="15.95" customHeight="1">
      <c r="A42" s="147"/>
      <c r="B42" s="119"/>
      <c r="C42" s="142"/>
      <c r="D42" s="159"/>
      <c r="E42" s="160"/>
      <c r="F42" s="134"/>
      <c r="G42" s="144"/>
      <c r="H42" s="162"/>
      <c r="I42" s="184" t="s">
        <v>336</v>
      </c>
      <c r="J42" s="114">
        <v>200000</v>
      </c>
      <c r="K42" s="115" t="s">
        <v>245</v>
      </c>
      <c r="L42" s="137" t="s">
        <v>251</v>
      </c>
      <c r="M42" s="116">
        <v>4</v>
      </c>
      <c r="N42" s="116" t="s">
        <v>255</v>
      </c>
      <c r="O42" s="138" t="s">
        <v>257</v>
      </c>
      <c r="P42" s="114">
        <f>SUM(J42*M42)</f>
        <v>800000</v>
      </c>
      <c r="Q42" s="17" t="s">
        <v>245</v>
      </c>
      <c r="AD42" s="51"/>
      <c r="AE42" s="56"/>
      <c r="AF42" s="56"/>
    </row>
    <row r="43" spans="1:32" s="52" customFormat="1" ht="15.95" customHeight="1">
      <c r="A43" s="147"/>
      <c r="B43" s="119"/>
      <c r="C43" s="181" t="s">
        <v>240</v>
      </c>
      <c r="D43" s="148">
        <v>11700</v>
      </c>
      <c r="E43" s="149">
        <f>+P43/1000</f>
        <v>10200</v>
      </c>
      <c r="F43" s="150">
        <v>2726</v>
      </c>
      <c r="G43" s="122">
        <f t="shared" si="1"/>
        <v>-1500</v>
      </c>
      <c r="H43" s="151">
        <f>+G43/D43*100</f>
        <v>-12.820512820512819</v>
      </c>
      <c r="I43" s="182"/>
      <c r="J43" s="126"/>
      <c r="K43" s="127"/>
      <c r="L43" s="128"/>
      <c r="M43" s="152" t="s">
        <v>253</v>
      </c>
      <c r="N43" s="152"/>
      <c r="O43" s="152"/>
      <c r="P43" s="126">
        <f>SUM(P44:P48)</f>
        <v>10200000</v>
      </c>
      <c r="Q43" s="129" t="s">
        <v>245</v>
      </c>
      <c r="AD43" s="51"/>
      <c r="AE43" s="56"/>
      <c r="AF43" s="56"/>
    </row>
    <row r="44" spans="1:32" s="52" customFormat="1" ht="15.95" customHeight="1">
      <c r="A44" s="147"/>
      <c r="B44" s="119"/>
      <c r="C44" s="183"/>
      <c r="D44" s="153"/>
      <c r="E44" s="154"/>
      <c r="F44" s="155"/>
      <c r="G44" s="133">
        <f t="shared" si="1"/>
        <v>0</v>
      </c>
      <c r="H44" s="156" t="e">
        <f>+G44/D44*100</f>
        <v>#DIV/0!</v>
      </c>
      <c r="I44" s="184" t="s">
        <v>437</v>
      </c>
      <c r="J44" s="114">
        <v>300000</v>
      </c>
      <c r="K44" s="115" t="s">
        <v>245</v>
      </c>
      <c r="L44" s="137" t="s">
        <v>251</v>
      </c>
      <c r="M44" s="116">
        <v>2</v>
      </c>
      <c r="N44" s="116" t="s">
        <v>255</v>
      </c>
      <c r="O44" s="138" t="s">
        <v>257</v>
      </c>
      <c r="P44" s="114">
        <f>SUM(J44*M44)</f>
        <v>600000</v>
      </c>
      <c r="Q44" s="17" t="s">
        <v>245</v>
      </c>
      <c r="AD44" s="51"/>
      <c r="AE44" s="56"/>
      <c r="AF44" s="56"/>
    </row>
    <row r="45" spans="1:32" s="52" customFormat="1" ht="15.95" customHeight="1">
      <c r="A45" s="147"/>
      <c r="B45" s="119"/>
      <c r="C45" s="183"/>
      <c r="D45" s="153"/>
      <c r="E45" s="154"/>
      <c r="F45" s="155"/>
      <c r="G45" s="133"/>
      <c r="H45" s="156"/>
      <c r="I45" s="184" t="s">
        <v>50</v>
      </c>
      <c r="J45" s="114">
        <v>1750000</v>
      </c>
      <c r="K45" s="115" t="s">
        <v>245</v>
      </c>
      <c r="L45" s="137" t="s">
        <v>251</v>
      </c>
      <c r="M45" s="116">
        <v>4</v>
      </c>
      <c r="N45" s="116" t="s">
        <v>255</v>
      </c>
      <c r="O45" s="138" t="s">
        <v>257</v>
      </c>
      <c r="P45" s="114">
        <f>SUM(J45*M45)</f>
        <v>7000000</v>
      </c>
      <c r="Q45" s="17" t="s">
        <v>245</v>
      </c>
      <c r="AD45" s="51"/>
      <c r="AE45" s="56"/>
      <c r="AF45" s="56"/>
    </row>
    <row r="46" spans="1:32" s="52" customFormat="1" ht="15.95" customHeight="1">
      <c r="A46" s="147"/>
      <c r="B46" s="119"/>
      <c r="C46" s="183"/>
      <c r="D46" s="153"/>
      <c r="E46" s="154"/>
      <c r="F46" s="155"/>
      <c r="G46" s="133">
        <f t="shared" si="1"/>
        <v>0</v>
      </c>
      <c r="H46" s="156" t="e">
        <f t="shared" ref="H46:H56" si="3">+G46/D46*100</f>
        <v>#DIV/0!</v>
      </c>
      <c r="I46" s="184" t="s">
        <v>448</v>
      </c>
      <c r="J46" s="114">
        <v>500000</v>
      </c>
      <c r="K46" s="115" t="s">
        <v>245</v>
      </c>
      <c r="L46" s="137" t="s">
        <v>251</v>
      </c>
      <c r="M46" s="116">
        <v>4</v>
      </c>
      <c r="N46" s="116" t="s">
        <v>255</v>
      </c>
      <c r="O46" s="138" t="s">
        <v>257</v>
      </c>
      <c r="P46" s="114">
        <f>SUM(J46*M46)</f>
        <v>2000000</v>
      </c>
      <c r="Q46" s="17" t="s">
        <v>245</v>
      </c>
      <c r="AD46" s="51"/>
      <c r="AE46" s="56"/>
      <c r="AF46" s="56"/>
    </row>
    <row r="47" spans="1:32" s="52" customFormat="1" ht="15.95" customHeight="1">
      <c r="A47" s="147"/>
      <c r="B47" s="119"/>
      <c r="C47" s="183"/>
      <c r="D47" s="153"/>
      <c r="E47" s="154"/>
      <c r="F47" s="155"/>
      <c r="G47" s="133"/>
      <c r="H47" s="156"/>
      <c r="I47" s="184" t="s">
        <v>318</v>
      </c>
      <c r="J47" s="114">
        <v>100000</v>
      </c>
      <c r="K47" s="115" t="s">
        <v>245</v>
      </c>
      <c r="L47" s="137" t="s">
        <v>251</v>
      </c>
      <c r="M47" s="116">
        <v>2</v>
      </c>
      <c r="N47" s="116" t="s">
        <v>255</v>
      </c>
      <c r="O47" s="138" t="s">
        <v>257</v>
      </c>
      <c r="P47" s="114">
        <f>SUM(J47*M47)</f>
        <v>200000</v>
      </c>
      <c r="Q47" s="17" t="s">
        <v>245</v>
      </c>
      <c r="AD47" s="51"/>
      <c r="AE47" s="56"/>
      <c r="AF47" s="56"/>
    </row>
    <row r="48" spans="1:32" s="52" customFormat="1" ht="15.95" customHeight="1">
      <c r="A48" s="147"/>
      <c r="B48" s="119"/>
      <c r="C48" s="183"/>
      <c r="D48" s="153"/>
      <c r="E48" s="154"/>
      <c r="F48" s="161"/>
      <c r="G48" s="133">
        <f t="shared" si="1"/>
        <v>0</v>
      </c>
      <c r="H48" s="156" t="e">
        <f t="shared" si="3"/>
        <v>#DIV/0!</v>
      </c>
      <c r="I48" s="184" t="s">
        <v>487</v>
      </c>
      <c r="J48" s="114">
        <v>100000</v>
      </c>
      <c r="K48" s="115" t="s">
        <v>245</v>
      </c>
      <c r="L48" s="137" t="s">
        <v>251</v>
      </c>
      <c r="M48" s="116">
        <v>4</v>
      </c>
      <c r="N48" s="116" t="s">
        <v>255</v>
      </c>
      <c r="O48" s="138" t="s">
        <v>257</v>
      </c>
      <c r="P48" s="114">
        <f>SUM(J48*M48)</f>
        <v>400000</v>
      </c>
      <c r="Q48" s="17" t="s">
        <v>245</v>
      </c>
      <c r="AD48" s="51"/>
      <c r="AE48" s="56"/>
      <c r="AF48" s="56"/>
    </row>
    <row r="49" spans="1:32" s="52" customFormat="1" ht="20.100000000000001" customHeight="1">
      <c r="A49" s="147"/>
      <c r="B49" s="189" t="s">
        <v>300</v>
      </c>
      <c r="C49" s="190" t="s">
        <v>258</v>
      </c>
      <c r="D49" s="191">
        <f>SUM(D50:D62,D63:D77)</f>
        <v>325050</v>
      </c>
      <c r="E49" s="192">
        <f>SUM(E50:E77)</f>
        <v>331749.5</v>
      </c>
      <c r="F49" s="193">
        <f>SUM(F50:F62,F63:F77)</f>
        <v>274672</v>
      </c>
      <c r="G49" s="194">
        <f>E49-D49</f>
        <v>6699.5</v>
      </c>
      <c r="H49" s="195">
        <f t="shared" si="3"/>
        <v>2.0610675280726043</v>
      </c>
      <c r="I49" s="182"/>
      <c r="J49" s="126"/>
      <c r="K49" s="127"/>
      <c r="L49" s="127"/>
      <c r="M49" s="127"/>
      <c r="N49" s="127"/>
      <c r="O49" s="127"/>
      <c r="P49" s="196">
        <f>SUM(P50,P52,P59,P63,P67,P75)</f>
        <v>331750500</v>
      </c>
      <c r="Q49" s="129" t="s">
        <v>245</v>
      </c>
      <c r="AD49" s="51"/>
      <c r="AE49" s="56"/>
      <c r="AF49" s="56"/>
    </row>
    <row r="50" spans="1:32" s="52" customFormat="1" ht="15.95" customHeight="1">
      <c r="A50" s="147"/>
      <c r="B50" s="119"/>
      <c r="C50" s="181" t="s">
        <v>266</v>
      </c>
      <c r="D50" s="148">
        <v>1200</v>
      </c>
      <c r="E50" s="149">
        <f>+P50/1000</f>
        <v>500</v>
      </c>
      <c r="F50" s="150">
        <v>107</v>
      </c>
      <c r="G50" s="122">
        <f t="shared" si="1"/>
        <v>-700</v>
      </c>
      <c r="H50" s="151">
        <f t="shared" si="3"/>
        <v>-58.333333333333336</v>
      </c>
      <c r="I50" s="182"/>
      <c r="J50" s="126"/>
      <c r="K50" s="127"/>
      <c r="L50" s="128"/>
      <c r="M50" s="128" t="s">
        <v>253</v>
      </c>
      <c r="N50" s="128"/>
      <c r="O50" s="128"/>
      <c r="P50" s="126">
        <f>SUM(P51)</f>
        <v>500000</v>
      </c>
      <c r="Q50" s="129" t="s">
        <v>245</v>
      </c>
      <c r="AD50" s="51"/>
      <c r="AE50" s="56"/>
      <c r="AF50" s="56"/>
    </row>
    <row r="51" spans="1:32" s="52" customFormat="1" ht="15.95" customHeight="1">
      <c r="A51" s="147"/>
      <c r="B51" s="197"/>
      <c r="C51" s="185"/>
      <c r="D51" s="159"/>
      <c r="E51" s="160"/>
      <c r="F51" s="161"/>
      <c r="G51" s="144">
        <f t="shared" si="1"/>
        <v>0</v>
      </c>
      <c r="H51" s="162" t="e">
        <f t="shared" si="3"/>
        <v>#DIV/0!</v>
      </c>
      <c r="I51" s="186" t="s">
        <v>210</v>
      </c>
      <c r="J51" s="173">
        <v>100000</v>
      </c>
      <c r="K51" s="14" t="s">
        <v>245</v>
      </c>
      <c r="L51" s="15" t="s">
        <v>251</v>
      </c>
      <c r="M51" s="16">
        <v>5</v>
      </c>
      <c r="N51" s="16" t="s">
        <v>523</v>
      </c>
      <c r="O51" s="178" t="s">
        <v>257</v>
      </c>
      <c r="P51" s="173">
        <f>SUM(J51*M51)</f>
        <v>500000</v>
      </c>
      <c r="Q51" s="175" t="s">
        <v>245</v>
      </c>
      <c r="AD51" s="51"/>
      <c r="AE51" s="56"/>
      <c r="AF51" s="56"/>
    </row>
    <row r="52" spans="1:32" s="52" customFormat="1" ht="15.95" customHeight="1">
      <c r="A52" s="147"/>
      <c r="B52" s="119"/>
      <c r="C52" s="198" t="s">
        <v>439</v>
      </c>
      <c r="D52" s="148">
        <v>218544</v>
      </c>
      <c r="E52" s="149">
        <f>+P52/1000</f>
        <v>213344</v>
      </c>
      <c r="F52" s="150">
        <v>27504</v>
      </c>
      <c r="G52" s="122">
        <f t="shared" si="1"/>
        <v>-5200</v>
      </c>
      <c r="H52" s="151">
        <f t="shared" si="3"/>
        <v>-2.3793835566293287</v>
      </c>
      <c r="I52" s="182"/>
      <c r="J52" s="126"/>
      <c r="K52" s="127"/>
      <c r="L52" s="127"/>
      <c r="M52" s="152" t="s">
        <v>253</v>
      </c>
      <c r="N52" s="152"/>
      <c r="O52" s="152"/>
      <c r="P52" s="196">
        <f>SUM(P53:P58)</f>
        <v>213344000</v>
      </c>
      <c r="Q52" s="129" t="s">
        <v>245</v>
      </c>
      <c r="AD52" s="51"/>
      <c r="AE52" s="56"/>
      <c r="AF52" s="56"/>
    </row>
    <row r="53" spans="1:32" s="52" customFormat="1" ht="15.95" customHeight="1">
      <c r="A53" s="147"/>
      <c r="B53" s="119"/>
      <c r="C53" s="199"/>
      <c r="D53" s="153"/>
      <c r="E53" s="154"/>
      <c r="F53" s="155"/>
      <c r="G53" s="133"/>
      <c r="H53" s="156"/>
      <c r="I53" s="184" t="s">
        <v>493</v>
      </c>
      <c r="J53" s="114">
        <v>15157000</v>
      </c>
      <c r="K53" s="115" t="s">
        <v>246</v>
      </c>
      <c r="L53" s="116" t="s">
        <v>251</v>
      </c>
      <c r="M53" s="116">
        <v>12</v>
      </c>
      <c r="N53" s="116" t="s">
        <v>246</v>
      </c>
      <c r="O53" s="116" t="s">
        <v>289</v>
      </c>
      <c r="P53" s="200">
        <f>J53*M53</f>
        <v>181884000</v>
      </c>
      <c r="Q53" s="17" t="s">
        <v>245</v>
      </c>
      <c r="AD53" s="51"/>
      <c r="AE53" s="56"/>
      <c r="AF53" s="56"/>
    </row>
    <row r="54" spans="1:32" s="52" customFormat="1" ht="15.95" customHeight="1">
      <c r="A54" s="147"/>
      <c r="B54" s="119"/>
      <c r="C54" s="183"/>
      <c r="D54" s="153"/>
      <c r="E54" s="154"/>
      <c r="F54" s="155"/>
      <c r="G54" s="133">
        <f t="shared" si="1"/>
        <v>0</v>
      </c>
      <c r="H54" s="156" t="e">
        <f t="shared" si="3"/>
        <v>#DIV/0!</v>
      </c>
      <c r="I54" s="184" t="s">
        <v>436</v>
      </c>
      <c r="J54" s="114">
        <v>2530000</v>
      </c>
      <c r="K54" s="115" t="s">
        <v>245</v>
      </c>
      <c r="L54" s="137" t="s">
        <v>251</v>
      </c>
      <c r="M54" s="116">
        <v>2</v>
      </c>
      <c r="N54" s="116" t="s">
        <v>255</v>
      </c>
      <c r="O54" s="138" t="s">
        <v>257</v>
      </c>
      <c r="P54" s="114">
        <f>SUM(J54*M54)</f>
        <v>5060000</v>
      </c>
      <c r="Q54" s="17" t="s">
        <v>245</v>
      </c>
      <c r="AD54" s="51"/>
      <c r="AE54" s="56"/>
      <c r="AF54" s="56"/>
    </row>
    <row r="55" spans="1:32" s="52" customFormat="1" ht="15.95" customHeight="1">
      <c r="A55" s="147"/>
      <c r="B55" s="119"/>
      <c r="C55" s="183"/>
      <c r="D55" s="153"/>
      <c r="E55" s="154"/>
      <c r="F55" s="155"/>
      <c r="G55" s="133"/>
      <c r="H55" s="156"/>
      <c r="I55" s="184" t="s">
        <v>484</v>
      </c>
      <c r="J55" s="114">
        <v>2000000</v>
      </c>
      <c r="K55" s="115" t="s">
        <v>245</v>
      </c>
      <c r="L55" s="137" t="s">
        <v>251</v>
      </c>
      <c r="M55" s="116">
        <v>3</v>
      </c>
      <c r="N55" s="116" t="s">
        <v>255</v>
      </c>
      <c r="O55" s="138" t="s">
        <v>257</v>
      </c>
      <c r="P55" s="114">
        <f>SUM(J55*M55)</f>
        <v>6000000</v>
      </c>
      <c r="Q55" s="17" t="s">
        <v>245</v>
      </c>
      <c r="AD55" s="51"/>
      <c r="AE55" s="56"/>
      <c r="AF55" s="56"/>
    </row>
    <row r="56" spans="1:32" s="52" customFormat="1" ht="15.95" customHeight="1">
      <c r="A56" s="147"/>
      <c r="B56" s="119"/>
      <c r="C56" s="183"/>
      <c r="D56" s="153"/>
      <c r="E56" s="154"/>
      <c r="F56" s="155"/>
      <c r="G56" s="133">
        <f t="shared" si="1"/>
        <v>0</v>
      </c>
      <c r="H56" s="156" t="e">
        <f t="shared" si="3"/>
        <v>#DIV/0!</v>
      </c>
      <c r="I56" s="184" t="s">
        <v>38</v>
      </c>
      <c r="J56" s="114">
        <v>1000000</v>
      </c>
      <c r="K56" s="115" t="s">
        <v>245</v>
      </c>
      <c r="L56" s="137" t="s">
        <v>251</v>
      </c>
      <c r="M56" s="116">
        <v>12</v>
      </c>
      <c r="N56" s="116" t="s">
        <v>246</v>
      </c>
      <c r="O56" s="138" t="s">
        <v>257</v>
      </c>
      <c r="P56" s="114">
        <f>SUM(J56*M56)</f>
        <v>12000000</v>
      </c>
      <c r="Q56" s="17" t="s">
        <v>245</v>
      </c>
      <c r="AD56" s="51"/>
      <c r="AE56" s="56"/>
      <c r="AF56" s="56"/>
    </row>
    <row r="57" spans="1:32" s="52" customFormat="1" ht="15.95" customHeight="1">
      <c r="A57" s="147"/>
      <c r="B57" s="119"/>
      <c r="C57" s="183"/>
      <c r="D57" s="153"/>
      <c r="E57" s="154"/>
      <c r="F57" s="155"/>
      <c r="G57" s="133"/>
      <c r="H57" s="156"/>
      <c r="I57" s="184" t="s">
        <v>117</v>
      </c>
      <c r="J57" s="114">
        <v>400000</v>
      </c>
      <c r="K57" s="115" t="s">
        <v>245</v>
      </c>
      <c r="L57" s="137" t="s">
        <v>251</v>
      </c>
      <c r="M57" s="116">
        <v>12</v>
      </c>
      <c r="N57" s="116" t="s">
        <v>246</v>
      </c>
      <c r="O57" s="138" t="s">
        <v>257</v>
      </c>
      <c r="P57" s="114">
        <f>SUM(J57*M57)</f>
        <v>4800000</v>
      </c>
      <c r="Q57" s="17" t="s">
        <v>245</v>
      </c>
      <c r="AD57" s="51"/>
      <c r="AE57" s="56"/>
      <c r="AF57" s="56"/>
    </row>
    <row r="58" spans="1:32" s="52" customFormat="1" ht="15.95" customHeight="1">
      <c r="A58" s="147"/>
      <c r="B58" s="119"/>
      <c r="C58" s="185"/>
      <c r="D58" s="159"/>
      <c r="E58" s="160"/>
      <c r="F58" s="161"/>
      <c r="G58" s="144">
        <f t="shared" si="1"/>
        <v>0</v>
      </c>
      <c r="H58" s="162" t="e">
        <f t="shared" ref="H58:H67" si="4">+G58/D58*100</f>
        <v>#DIV/0!</v>
      </c>
      <c r="I58" s="186" t="s">
        <v>88</v>
      </c>
      <c r="J58" s="173">
        <v>300000</v>
      </c>
      <c r="K58" s="14" t="s">
        <v>245</v>
      </c>
      <c r="L58" s="15" t="s">
        <v>251</v>
      </c>
      <c r="M58" s="16">
        <v>12</v>
      </c>
      <c r="N58" s="16" t="s">
        <v>246</v>
      </c>
      <c r="O58" s="178" t="s">
        <v>257</v>
      </c>
      <c r="P58" s="173">
        <f>SUM(J58*M58)</f>
        <v>3600000</v>
      </c>
      <c r="Q58" s="175" t="s">
        <v>245</v>
      </c>
      <c r="AD58" s="51"/>
      <c r="AE58" s="56"/>
      <c r="AF58" s="56"/>
    </row>
    <row r="59" spans="1:32" s="52" customFormat="1" ht="15.95" customHeight="1">
      <c r="A59" s="147"/>
      <c r="B59" s="119"/>
      <c r="C59" s="183" t="s">
        <v>74</v>
      </c>
      <c r="D59" s="153">
        <v>8460</v>
      </c>
      <c r="E59" s="154">
        <f>P59/1000</f>
        <v>8220</v>
      </c>
      <c r="F59" s="155">
        <v>9102</v>
      </c>
      <c r="G59" s="133">
        <f>+E59-D59</f>
        <v>-240</v>
      </c>
      <c r="H59" s="156">
        <f t="shared" si="4"/>
        <v>-2.8368794326241136</v>
      </c>
      <c r="I59" s="184"/>
      <c r="J59" s="114"/>
      <c r="K59" s="115"/>
      <c r="L59" s="115"/>
      <c r="M59" s="201" t="s">
        <v>253</v>
      </c>
      <c r="N59" s="201"/>
      <c r="O59" s="201"/>
      <c r="P59" s="200">
        <f>SUM(P60:P62)</f>
        <v>8220000</v>
      </c>
      <c r="Q59" s="17" t="s">
        <v>245</v>
      </c>
      <c r="AD59" s="51"/>
      <c r="AE59" s="56"/>
      <c r="AF59" s="56"/>
    </row>
    <row r="60" spans="1:32" s="52" customFormat="1" ht="15.95" customHeight="1">
      <c r="A60" s="147"/>
      <c r="B60" s="119"/>
      <c r="C60" s="183"/>
      <c r="D60" s="153"/>
      <c r="E60" s="154"/>
      <c r="F60" s="155"/>
      <c r="G60" s="133">
        <f>+E60-D60</f>
        <v>0</v>
      </c>
      <c r="H60" s="156" t="e">
        <f t="shared" si="4"/>
        <v>#DIV/0!</v>
      </c>
      <c r="I60" s="184" t="s">
        <v>344</v>
      </c>
      <c r="J60" s="114">
        <v>400000</v>
      </c>
      <c r="K60" s="115" t="s">
        <v>245</v>
      </c>
      <c r="L60" s="137" t="s">
        <v>251</v>
      </c>
      <c r="M60" s="116">
        <v>12</v>
      </c>
      <c r="N60" s="116" t="s">
        <v>246</v>
      </c>
      <c r="O60" s="138" t="s">
        <v>257</v>
      </c>
      <c r="P60" s="114">
        <f>SUM(J60*M60)</f>
        <v>4800000</v>
      </c>
      <c r="Q60" s="17" t="s">
        <v>245</v>
      </c>
      <c r="AD60" s="51"/>
      <c r="AE60" s="56"/>
      <c r="AF60" s="56"/>
    </row>
    <row r="61" spans="1:32" s="52" customFormat="1" ht="15.95" customHeight="1">
      <c r="A61" s="147"/>
      <c r="B61" s="119"/>
      <c r="C61" s="183"/>
      <c r="D61" s="153"/>
      <c r="E61" s="154"/>
      <c r="F61" s="155"/>
      <c r="G61" s="133">
        <f>+E61-D61</f>
        <v>0</v>
      </c>
      <c r="H61" s="156" t="e">
        <f t="shared" si="4"/>
        <v>#DIV/0!</v>
      </c>
      <c r="I61" s="184" t="s">
        <v>37</v>
      </c>
      <c r="J61" s="114">
        <v>235000</v>
      </c>
      <c r="K61" s="115" t="s">
        <v>245</v>
      </c>
      <c r="L61" s="137" t="s">
        <v>251</v>
      </c>
      <c r="M61" s="116">
        <v>12</v>
      </c>
      <c r="N61" s="116" t="s">
        <v>246</v>
      </c>
      <c r="O61" s="138" t="s">
        <v>257</v>
      </c>
      <c r="P61" s="114">
        <f>SUM(J61*M61)</f>
        <v>2820000</v>
      </c>
      <c r="Q61" s="17" t="s">
        <v>245</v>
      </c>
      <c r="AD61" s="51"/>
      <c r="AE61" s="56"/>
      <c r="AF61" s="56"/>
    </row>
    <row r="62" spans="1:32" s="52" customFormat="1" ht="15.95" customHeight="1">
      <c r="A62" s="147"/>
      <c r="B62" s="119"/>
      <c r="C62" s="183"/>
      <c r="D62" s="153"/>
      <c r="E62" s="154"/>
      <c r="F62" s="155"/>
      <c r="G62" s="133">
        <f>+E62-D62</f>
        <v>0</v>
      </c>
      <c r="H62" s="156" t="e">
        <f t="shared" si="4"/>
        <v>#DIV/0!</v>
      </c>
      <c r="I62" s="184" t="s">
        <v>69</v>
      </c>
      <c r="J62" s="114">
        <v>50000</v>
      </c>
      <c r="K62" s="115" t="s">
        <v>245</v>
      </c>
      <c r="L62" s="137" t="s">
        <v>251</v>
      </c>
      <c r="M62" s="116">
        <v>12</v>
      </c>
      <c r="N62" s="116" t="s">
        <v>255</v>
      </c>
      <c r="O62" s="138" t="s">
        <v>257</v>
      </c>
      <c r="P62" s="114">
        <f>SUM(J62*M62)</f>
        <v>600000</v>
      </c>
      <c r="Q62" s="17" t="s">
        <v>245</v>
      </c>
      <c r="AD62" s="51"/>
      <c r="AE62" s="56"/>
      <c r="AF62" s="56"/>
    </row>
    <row r="63" spans="1:32" s="52" customFormat="1" ht="15.95" customHeight="1">
      <c r="A63" s="147" t="s">
        <v>279</v>
      </c>
      <c r="B63" s="119" t="s">
        <v>279</v>
      </c>
      <c r="C63" s="120" t="s">
        <v>64</v>
      </c>
      <c r="D63" s="148">
        <v>52500</v>
      </c>
      <c r="E63" s="149">
        <f>+P63/1000</f>
        <v>61460</v>
      </c>
      <c r="F63" s="150">
        <v>194780</v>
      </c>
      <c r="G63" s="122">
        <f>+E63-D63</f>
        <v>8960</v>
      </c>
      <c r="H63" s="151">
        <f t="shared" si="4"/>
        <v>17.066666666666666</v>
      </c>
      <c r="I63" s="182"/>
      <c r="J63" s="126"/>
      <c r="K63" s="127"/>
      <c r="L63" s="127"/>
      <c r="M63" s="152" t="s">
        <v>253</v>
      </c>
      <c r="N63" s="152"/>
      <c r="O63" s="152"/>
      <c r="P63" s="196">
        <f>SUM(P64:P66)</f>
        <v>61460000</v>
      </c>
      <c r="Q63" s="129" t="s">
        <v>245</v>
      </c>
      <c r="AD63" s="51"/>
      <c r="AE63" s="56"/>
      <c r="AF63" s="56"/>
    </row>
    <row r="64" spans="1:32" s="52" customFormat="1" ht="15.95" customHeight="1">
      <c r="A64" s="147"/>
      <c r="B64" s="119"/>
      <c r="C64" s="131"/>
      <c r="D64" s="153"/>
      <c r="E64" s="154"/>
      <c r="F64" s="155"/>
      <c r="G64" s="133"/>
      <c r="H64" s="156"/>
      <c r="I64" s="184" t="s">
        <v>99</v>
      </c>
      <c r="J64" s="114">
        <v>8960000</v>
      </c>
      <c r="K64" s="115" t="s">
        <v>245</v>
      </c>
      <c r="L64" s="137" t="s">
        <v>251</v>
      </c>
      <c r="M64" s="116">
        <v>6</v>
      </c>
      <c r="N64" s="116" t="s">
        <v>255</v>
      </c>
      <c r="O64" s="138" t="s">
        <v>257</v>
      </c>
      <c r="P64" s="114">
        <f>SUM(J64*M64)</f>
        <v>53760000</v>
      </c>
      <c r="Q64" s="17" t="s">
        <v>245</v>
      </c>
      <c r="AD64" s="51"/>
      <c r="AE64" s="56"/>
      <c r="AF64" s="56"/>
    </row>
    <row r="65" spans="1:33" s="52" customFormat="1" ht="15.95" customHeight="1">
      <c r="A65" s="147"/>
      <c r="B65" s="119"/>
      <c r="C65" s="131"/>
      <c r="D65" s="153"/>
      <c r="E65" s="154"/>
      <c r="F65" s="155"/>
      <c r="G65" s="133"/>
      <c r="H65" s="156"/>
      <c r="I65" s="202" t="s">
        <v>378</v>
      </c>
      <c r="J65" s="114">
        <v>1900000</v>
      </c>
      <c r="K65" s="115" t="s">
        <v>245</v>
      </c>
      <c r="L65" s="137" t="s">
        <v>251</v>
      </c>
      <c r="M65" s="116">
        <v>3</v>
      </c>
      <c r="N65" s="116" t="s">
        <v>255</v>
      </c>
      <c r="O65" s="116" t="s">
        <v>257</v>
      </c>
      <c r="P65" s="114">
        <f>SUM(J65*M65)</f>
        <v>5700000</v>
      </c>
      <c r="Q65" s="17" t="s">
        <v>245</v>
      </c>
      <c r="AD65" s="51"/>
      <c r="AE65" s="56"/>
      <c r="AF65" s="56"/>
    </row>
    <row r="66" spans="1:33" s="52" customFormat="1" ht="15.95" customHeight="1">
      <c r="A66" s="147"/>
      <c r="B66" s="119"/>
      <c r="C66" s="142"/>
      <c r="D66" s="159"/>
      <c r="E66" s="160"/>
      <c r="F66" s="161"/>
      <c r="G66" s="144"/>
      <c r="H66" s="162"/>
      <c r="I66" s="186" t="s">
        <v>475</v>
      </c>
      <c r="J66" s="173">
        <v>1000000</v>
      </c>
      <c r="K66" s="14" t="s">
        <v>245</v>
      </c>
      <c r="L66" s="15" t="s">
        <v>251</v>
      </c>
      <c r="M66" s="16">
        <v>2</v>
      </c>
      <c r="N66" s="16" t="s">
        <v>264</v>
      </c>
      <c r="O66" s="178" t="s">
        <v>257</v>
      </c>
      <c r="P66" s="173">
        <f>SUM(J66*M66)</f>
        <v>2000000</v>
      </c>
      <c r="Q66" s="175" t="s">
        <v>245</v>
      </c>
      <c r="AD66" s="51"/>
      <c r="AE66" s="56"/>
      <c r="AF66" s="56"/>
    </row>
    <row r="67" spans="1:33" s="52" customFormat="1" ht="15.95" customHeight="1">
      <c r="A67" s="91" t="s">
        <v>260</v>
      </c>
      <c r="B67" s="106" t="s">
        <v>300</v>
      </c>
      <c r="C67" s="120" t="s">
        <v>163</v>
      </c>
      <c r="D67" s="148">
        <v>42546</v>
      </c>
      <c r="E67" s="149">
        <f>+P67/1000-1</f>
        <v>47325.5</v>
      </c>
      <c r="F67" s="123">
        <v>36590</v>
      </c>
      <c r="G67" s="122">
        <f>E67-D67</f>
        <v>4779.5</v>
      </c>
      <c r="H67" s="124">
        <f t="shared" si="4"/>
        <v>11.233723499271377</v>
      </c>
      <c r="I67" s="203"/>
      <c r="J67" s="204"/>
      <c r="K67" s="127"/>
      <c r="L67" s="128"/>
      <c r="M67" s="152" t="s">
        <v>253</v>
      </c>
      <c r="N67" s="152"/>
      <c r="O67" s="152"/>
      <c r="P67" s="126">
        <f>SUM(P68:P74)</f>
        <v>47326500</v>
      </c>
      <c r="Q67" s="129" t="s">
        <v>245</v>
      </c>
      <c r="AD67" s="51"/>
      <c r="AE67" s="56"/>
      <c r="AF67" s="56"/>
    </row>
    <row r="68" spans="1:33" s="52" customFormat="1" ht="15.95" customHeight="1">
      <c r="A68" s="147"/>
      <c r="B68" s="119"/>
      <c r="C68" s="131"/>
      <c r="D68" s="153"/>
      <c r="E68" s="154"/>
      <c r="F68" s="134"/>
      <c r="G68" s="133"/>
      <c r="H68" s="135"/>
      <c r="I68" s="184" t="s">
        <v>353</v>
      </c>
      <c r="J68" s="114">
        <v>2750000</v>
      </c>
      <c r="K68" s="115" t="s">
        <v>245</v>
      </c>
      <c r="L68" s="137" t="s">
        <v>251</v>
      </c>
      <c r="M68" s="116">
        <v>4</v>
      </c>
      <c r="N68" s="116" t="s">
        <v>288</v>
      </c>
      <c r="O68" s="138" t="s">
        <v>257</v>
      </c>
      <c r="P68" s="114">
        <f t="shared" ref="P68:P74" si="5">SUM(J68*M68)</f>
        <v>11000000</v>
      </c>
      <c r="Q68" s="17" t="s">
        <v>245</v>
      </c>
      <c r="AD68" s="51"/>
      <c r="AE68" s="56"/>
      <c r="AF68" s="56"/>
    </row>
    <row r="69" spans="1:33" s="52" customFormat="1" ht="15.95" customHeight="1">
      <c r="A69" s="147"/>
      <c r="B69" s="119"/>
      <c r="C69" s="131"/>
      <c r="D69" s="153"/>
      <c r="E69" s="154"/>
      <c r="F69" s="134"/>
      <c r="G69" s="133"/>
      <c r="H69" s="135"/>
      <c r="I69" s="184" t="s">
        <v>111</v>
      </c>
      <c r="J69" s="114">
        <v>1500000</v>
      </c>
      <c r="K69" s="115" t="s">
        <v>245</v>
      </c>
      <c r="L69" s="137" t="s">
        <v>251</v>
      </c>
      <c r="M69" s="116">
        <v>15</v>
      </c>
      <c r="N69" s="116" t="s">
        <v>255</v>
      </c>
      <c r="O69" s="138" t="s">
        <v>257</v>
      </c>
      <c r="P69" s="114">
        <f t="shared" si="5"/>
        <v>22500000</v>
      </c>
      <c r="Q69" s="17" t="s">
        <v>245</v>
      </c>
      <c r="AD69" s="51"/>
      <c r="AE69" s="56"/>
      <c r="AF69" s="56"/>
    </row>
    <row r="70" spans="1:33" s="52" customFormat="1" ht="15.95" customHeight="1">
      <c r="A70" s="205"/>
      <c r="B70" s="206"/>
      <c r="C70" s="131"/>
      <c r="D70" s="153"/>
      <c r="E70" s="154"/>
      <c r="F70" s="134"/>
      <c r="G70" s="133"/>
      <c r="H70" s="135"/>
      <c r="I70" s="184" t="s">
        <v>24</v>
      </c>
      <c r="J70" s="114">
        <v>5066500</v>
      </c>
      <c r="K70" s="115" t="s">
        <v>245</v>
      </c>
      <c r="L70" s="137" t="s">
        <v>251</v>
      </c>
      <c r="M70" s="116">
        <v>1</v>
      </c>
      <c r="N70" s="116" t="s">
        <v>255</v>
      </c>
      <c r="O70" s="138" t="s">
        <v>257</v>
      </c>
      <c r="P70" s="114">
        <f t="shared" si="5"/>
        <v>5066500</v>
      </c>
      <c r="Q70" s="17" t="s">
        <v>245</v>
      </c>
      <c r="R70" s="207"/>
      <c r="S70" s="207"/>
      <c r="T70" s="207"/>
      <c r="U70" s="207"/>
      <c r="V70" s="207"/>
      <c r="W70" s="207"/>
      <c r="X70" s="207"/>
      <c r="Y70" s="207"/>
      <c r="Z70" s="207"/>
      <c r="AA70" s="207"/>
      <c r="AB70" s="207"/>
      <c r="AC70" s="207"/>
      <c r="AD70" s="208"/>
      <c r="AE70" s="208" t="s">
        <v>524</v>
      </c>
      <c r="AF70" s="208">
        <v>14079000</v>
      </c>
    </row>
    <row r="71" spans="1:33" s="52" customFormat="1" ht="15.95" customHeight="1">
      <c r="A71" s="205"/>
      <c r="B71" s="206"/>
      <c r="C71" s="131"/>
      <c r="D71" s="153"/>
      <c r="E71" s="154"/>
      <c r="F71" s="134"/>
      <c r="G71" s="133"/>
      <c r="H71" s="135"/>
      <c r="I71" s="209" t="s">
        <v>379</v>
      </c>
      <c r="J71" s="210">
        <v>100000</v>
      </c>
      <c r="K71" s="18" t="s">
        <v>245</v>
      </c>
      <c r="L71" s="21" t="s">
        <v>251</v>
      </c>
      <c r="M71" s="20">
        <v>20</v>
      </c>
      <c r="N71" s="20" t="s">
        <v>527</v>
      </c>
      <c r="O71" s="22" t="s">
        <v>257</v>
      </c>
      <c r="P71" s="114">
        <f t="shared" si="5"/>
        <v>2000000</v>
      </c>
      <c r="Q71" s="23" t="s">
        <v>245</v>
      </c>
      <c r="R71" s="207"/>
      <c r="S71" s="207"/>
      <c r="T71" s="207"/>
      <c r="U71" s="207"/>
      <c r="V71" s="207"/>
      <c r="W71" s="207"/>
      <c r="X71" s="207"/>
      <c r="Y71" s="207"/>
      <c r="Z71" s="207"/>
      <c r="AA71" s="207"/>
      <c r="AB71" s="207"/>
      <c r="AC71" s="207"/>
      <c r="AD71" s="208"/>
      <c r="AE71" s="208" t="s">
        <v>525</v>
      </c>
      <c r="AF71" s="208">
        <v>611980</v>
      </c>
      <c r="AG71" s="52" t="s">
        <v>526</v>
      </c>
    </row>
    <row r="72" spans="1:33" s="52" customFormat="1" ht="15.95" customHeight="1">
      <c r="A72" s="147"/>
      <c r="B72" s="119"/>
      <c r="C72" s="131"/>
      <c r="D72" s="153"/>
      <c r="E72" s="154"/>
      <c r="F72" s="134"/>
      <c r="G72" s="133"/>
      <c r="H72" s="135"/>
      <c r="I72" s="184" t="s">
        <v>180</v>
      </c>
      <c r="J72" s="114">
        <v>1200000</v>
      </c>
      <c r="K72" s="115" t="s">
        <v>245</v>
      </c>
      <c r="L72" s="137" t="s">
        <v>251</v>
      </c>
      <c r="M72" s="116">
        <v>2</v>
      </c>
      <c r="N72" s="116" t="s">
        <v>287</v>
      </c>
      <c r="O72" s="138" t="s">
        <v>257</v>
      </c>
      <c r="P72" s="114">
        <f t="shared" si="5"/>
        <v>2400000</v>
      </c>
      <c r="Q72" s="17" t="s">
        <v>245</v>
      </c>
      <c r="R72" s="207"/>
      <c r="S72" s="207"/>
      <c r="T72" s="207"/>
      <c r="U72" s="207"/>
      <c r="V72" s="207"/>
      <c r="W72" s="207"/>
      <c r="X72" s="207"/>
      <c r="Y72" s="207"/>
      <c r="Z72" s="207"/>
      <c r="AA72" s="207"/>
      <c r="AB72" s="207"/>
      <c r="AC72" s="207"/>
      <c r="AD72" s="208"/>
      <c r="AE72" s="208"/>
      <c r="AF72" s="208"/>
    </row>
    <row r="73" spans="1:33" s="52" customFormat="1" ht="15.95" customHeight="1">
      <c r="A73" s="147"/>
      <c r="B73" s="119"/>
      <c r="C73" s="131"/>
      <c r="D73" s="153"/>
      <c r="E73" s="154"/>
      <c r="F73" s="134"/>
      <c r="G73" s="133"/>
      <c r="H73" s="135"/>
      <c r="I73" s="184" t="s">
        <v>169</v>
      </c>
      <c r="J73" s="114">
        <v>330000</v>
      </c>
      <c r="K73" s="115" t="s">
        <v>245</v>
      </c>
      <c r="L73" s="137" t="s">
        <v>251</v>
      </c>
      <c r="M73" s="116">
        <v>12</v>
      </c>
      <c r="N73" s="116" t="s">
        <v>255</v>
      </c>
      <c r="O73" s="138" t="s">
        <v>257</v>
      </c>
      <c r="P73" s="114">
        <f t="shared" si="5"/>
        <v>3960000</v>
      </c>
      <c r="Q73" s="17" t="s">
        <v>245</v>
      </c>
      <c r="AD73" s="51"/>
      <c r="AE73" s="56"/>
      <c r="AF73" s="56"/>
    </row>
    <row r="74" spans="1:33" s="52" customFormat="1" ht="15.95" customHeight="1">
      <c r="A74" s="147"/>
      <c r="B74" s="119"/>
      <c r="C74" s="142"/>
      <c r="D74" s="159"/>
      <c r="E74" s="160"/>
      <c r="F74" s="134"/>
      <c r="G74" s="144"/>
      <c r="H74" s="145"/>
      <c r="I74" s="184" t="s">
        <v>368</v>
      </c>
      <c r="J74" s="114">
        <v>400000</v>
      </c>
      <c r="K74" s="115" t="s">
        <v>245</v>
      </c>
      <c r="L74" s="137" t="s">
        <v>251</v>
      </c>
      <c r="M74" s="116">
        <v>1</v>
      </c>
      <c r="N74" s="116" t="s">
        <v>255</v>
      </c>
      <c r="O74" s="138" t="s">
        <v>257</v>
      </c>
      <c r="P74" s="114">
        <f t="shared" si="5"/>
        <v>400000</v>
      </c>
      <c r="Q74" s="17" t="s">
        <v>245</v>
      </c>
      <c r="AD74" s="51"/>
      <c r="AE74" s="56"/>
      <c r="AF74" s="56"/>
    </row>
    <row r="75" spans="1:33" s="52" customFormat="1" ht="15.95" customHeight="1">
      <c r="A75" s="147"/>
      <c r="B75" s="119"/>
      <c r="C75" s="181" t="s">
        <v>271</v>
      </c>
      <c r="D75" s="148">
        <v>1800</v>
      </c>
      <c r="E75" s="149">
        <f>+P75/1000</f>
        <v>900</v>
      </c>
      <c r="F75" s="150">
        <v>6589</v>
      </c>
      <c r="G75" s="122">
        <f>+E75-D75</f>
        <v>-900</v>
      </c>
      <c r="H75" s="151">
        <f>+G75/D75*100</f>
        <v>-50</v>
      </c>
      <c r="I75" s="182"/>
      <c r="J75" s="126"/>
      <c r="K75" s="127"/>
      <c r="L75" s="128"/>
      <c r="M75" s="152" t="s">
        <v>253</v>
      </c>
      <c r="N75" s="152"/>
      <c r="O75" s="152"/>
      <c r="P75" s="126">
        <f>SUM(P76:P77)</f>
        <v>900000</v>
      </c>
      <c r="Q75" s="129" t="s">
        <v>245</v>
      </c>
      <c r="AD75" s="51"/>
      <c r="AE75" s="56"/>
      <c r="AF75" s="56"/>
    </row>
    <row r="76" spans="1:33" s="52" customFormat="1" ht="15.95" customHeight="1">
      <c r="A76" s="147"/>
      <c r="B76" s="119"/>
      <c r="C76" s="183"/>
      <c r="D76" s="153"/>
      <c r="E76" s="154"/>
      <c r="F76" s="155"/>
      <c r="G76" s="133">
        <f>+E76-D76</f>
        <v>0</v>
      </c>
      <c r="H76" s="156" t="e">
        <f>+G76/D76*100</f>
        <v>#DIV/0!</v>
      </c>
      <c r="I76" s="184" t="s">
        <v>167</v>
      </c>
      <c r="J76" s="114">
        <v>50000</v>
      </c>
      <c r="K76" s="115" t="s">
        <v>245</v>
      </c>
      <c r="L76" s="116" t="s">
        <v>251</v>
      </c>
      <c r="M76" s="116">
        <v>12</v>
      </c>
      <c r="N76" s="116" t="s">
        <v>246</v>
      </c>
      <c r="O76" s="138" t="s">
        <v>257</v>
      </c>
      <c r="P76" s="114">
        <f>SUM(J76*M76)</f>
        <v>600000</v>
      </c>
      <c r="Q76" s="17" t="s">
        <v>245</v>
      </c>
      <c r="AD76" s="51"/>
      <c r="AE76" s="56"/>
      <c r="AF76" s="56"/>
    </row>
    <row r="77" spans="1:33" s="52" customFormat="1" ht="15.95" customHeight="1">
      <c r="A77" s="211"/>
      <c r="B77" s="177"/>
      <c r="C77" s="185"/>
      <c r="D77" s="159"/>
      <c r="E77" s="160"/>
      <c r="F77" s="161"/>
      <c r="G77" s="144">
        <f>+E77-D77</f>
        <v>0</v>
      </c>
      <c r="H77" s="162" t="e">
        <f>+G77/D77*100</f>
        <v>#DIV/0!</v>
      </c>
      <c r="I77" s="186" t="s">
        <v>61</v>
      </c>
      <c r="J77" s="173">
        <v>100000</v>
      </c>
      <c r="K77" s="14" t="s">
        <v>245</v>
      </c>
      <c r="L77" s="15" t="s">
        <v>251</v>
      </c>
      <c r="M77" s="16">
        <v>3</v>
      </c>
      <c r="N77" s="16" t="s">
        <v>255</v>
      </c>
      <c r="O77" s="178" t="s">
        <v>257</v>
      </c>
      <c r="P77" s="173">
        <f>SUM(J77*M77)</f>
        <v>300000</v>
      </c>
      <c r="Q77" s="175" t="s">
        <v>245</v>
      </c>
      <c r="AD77" s="51"/>
      <c r="AE77" s="56"/>
      <c r="AF77" s="56"/>
    </row>
    <row r="78" spans="1:33" s="52" customFormat="1" ht="20.100000000000001" customHeight="1">
      <c r="A78" s="91" t="s">
        <v>239</v>
      </c>
      <c r="B78" s="212" t="s">
        <v>265</v>
      </c>
      <c r="C78" s="213"/>
      <c r="D78" s="214">
        <f>SUM(D79:D84)</f>
        <v>40517</v>
      </c>
      <c r="E78" s="215">
        <f>SUM(E79:E84)</f>
        <v>30877.469980000002</v>
      </c>
      <c r="F78" s="216">
        <f>SUM(F79:F84)</f>
        <v>215364</v>
      </c>
      <c r="G78" s="217">
        <f>+E78-D78</f>
        <v>-9639.5300199999983</v>
      </c>
      <c r="H78" s="218">
        <f>+G78/D78*100</f>
        <v>-23.791322210430184</v>
      </c>
      <c r="I78" s="184"/>
      <c r="J78" s="114"/>
      <c r="K78" s="115"/>
      <c r="L78" s="116"/>
      <c r="M78" s="116"/>
      <c r="N78" s="116"/>
      <c r="O78" s="116"/>
      <c r="P78" s="219">
        <f>SUM(P79,P81,P84)</f>
        <v>30877469.98</v>
      </c>
      <c r="Q78" s="220" t="s">
        <v>245</v>
      </c>
      <c r="AD78" s="51"/>
      <c r="AE78" s="56"/>
      <c r="AF78" s="56"/>
    </row>
    <row r="79" spans="1:33" s="52" customFormat="1" ht="16.5" customHeight="1">
      <c r="A79" s="91" t="s">
        <v>242</v>
      </c>
      <c r="B79" s="189" t="s">
        <v>249</v>
      </c>
      <c r="C79" s="181" t="s">
        <v>249</v>
      </c>
      <c r="D79" s="148">
        <v>10000</v>
      </c>
      <c r="E79" s="149">
        <f>+P79/1000</f>
        <v>1860</v>
      </c>
      <c r="F79" s="150">
        <v>290</v>
      </c>
      <c r="G79" s="122">
        <f>+E79-D79</f>
        <v>-8140</v>
      </c>
      <c r="H79" s="151">
        <f>G79/D79*100</f>
        <v>-81.399999999999991</v>
      </c>
      <c r="I79" s="221"/>
      <c r="J79" s="126"/>
      <c r="K79" s="127"/>
      <c r="L79" s="222"/>
      <c r="M79" s="128" t="s">
        <v>253</v>
      </c>
      <c r="N79" s="128"/>
      <c r="O79" s="128"/>
      <c r="P79" s="126">
        <f>SUM(P80:P80)</f>
        <v>1860000</v>
      </c>
      <c r="Q79" s="129" t="s">
        <v>245</v>
      </c>
      <c r="AD79" s="51"/>
      <c r="AE79" s="56"/>
      <c r="AF79" s="56"/>
    </row>
    <row r="80" spans="1:33" s="52" customFormat="1" ht="16.5" customHeight="1">
      <c r="A80" s="147"/>
      <c r="B80" s="119"/>
      <c r="C80" s="185"/>
      <c r="D80" s="159"/>
      <c r="E80" s="160"/>
      <c r="F80" s="161"/>
      <c r="G80" s="144"/>
      <c r="H80" s="162"/>
      <c r="I80" s="223" t="s">
        <v>44</v>
      </c>
      <c r="J80" s="173">
        <v>1860000</v>
      </c>
      <c r="K80" s="14" t="s">
        <v>245</v>
      </c>
      <c r="L80" s="15" t="s">
        <v>251</v>
      </c>
      <c r="M80" s="16">
        <v>1</v>
      </c>
      <c r="N80" s="16" t="s">
        <v>255</v>
      </c>
      <c r="O80" s="178" t="s">
        <v>257</v>
      </c>
      <c r="P80" s="173">
        <f>SUM(J80*M80)</f>
        <v>1860000</v>
      </c>
      <c r="Q80" s="175" t="s">
        <v>245</v>
      </c>
      <c r="AD80" s="51"/>
      <c r="AE80" s="56"/>
      <c r="AF80" s="56"/>
    </row>
    <row r="81" spans="1:32" s="52" customFormat="1" ht="16.5" customHeight="1">
      <c r="A81" s="147"/>
      <c r="B81" s="119"/>
      <c r="C81" s="120" t="s">
        <v>77</v>
      </c>
      <c r="D81" s="148">
        <v>29517</v>
      </c>
      <c r="E81" s="149">
        <f>+P81/1000</f>
        <v>29017.469980000002</v>
      </c>
      <c r="F81" s="150">
        <v>80074</v>
      </c>
      <c r="G81" s="122">
        <f>+E81-D81</f>
        <v>-499.53001999999833</v>
      </c>
      <c r="H81" s="151">
        <f>+G81/D81*100</f>
        <v>-1.6923468509672337</v>
      </c>
      <c r="I81" s="224"/>
      <c r="J81" s="114"/>
      <c r="K81" s="115"/>
      <c r="L81" s="137"/>
      <c r="M81" s="116" t="s">
        <v>253</v>
      </c>
      <c r="N81" s="116"/>
      <c r="O81" s="116"/>
      <c r="P81" s="114">
        <f>SUM(P82:P83)</f>
        <v>29017469.98</v>
      </c>
      <c r="Q81" s="17" t="s">
        <v>245</v>
      </c>
      <c r="AD81" s="51"/>
      <c r="AE81" s="56"/>
      <c r="AF81" s="56"/>
    </row>
    <row r="82" spans="1:32" s="52" customFormat="1" ht="16.5" customHeight="1">
      <c r="A82" s="147"/>
      <c r="B82" s="119"/>
      <c r="C82" s="131"/>
      <c r="D82" s="153"/>
      <c r="E82" s="154"/>
      <c r="F82" s="155"/>
      <c r="G82" s="133"/>
      <c r="H82" s="156"/>
      <c r="I82" s="225" t="s">
        <v>528</v>
      </c>
      <c r="J82" s="114">
        <v>1100000</v>
      </c>
      <c r="K82" s="115" t="s">
        <v>245</v>
      </c>
      <c r="L82" s="137" t="s">
        <v>251</v>
      </c>
      <c r="M82" s="116">
        <v>5</v>
      </c>
      <c r="N82" s="116" t="s">
        <v>255</v>
      </c>
      <c r="O82" s="138" t="s">
        <v>257</v>
      </c>
      <c r="P82" s="114">
        <f>SUM(J82*M82)</f>
        <v>5500000</v>
      </c>
      <c r="Q82" s="17" t="s">
        <v>245</v>
      </c>
      <c r="AD82" s="51"/>
      <c r="AE82" s="56"/>
      <c r="AF82" s="56"/>
    </row>
    <row r="83" spans="1:32" s="52" customFormat="1" ht="16.5" customHeight="1">
      <c r="A83" s="147"/>
      <c r="B83" s="119"/>
      <c r="C83" s="142"/>
      <c r="D83" s="159"/>
      <c r="E83" s="160"/>
      <c r="F83" s="134"/>
      <c r="G83" s="144"/>
      <c r="H83" s="162"/>
      <c r="I83" s="225" t="s">
        <v>4</v>
      </c>
      <c r="J83" s="114">
        <v>7839156.6600000001</v>
      </c>
      <c r="K83" s="115" t="s">
        <v>245</v>
      </c>
      <c r="L83" s="137" t="s">
        <v>251</v>
      </c>
      <c r="M83" s="116">
        <v>3</v>
      </c>
      <c r="N83" s="116" t="s">
        <v>255</v>
      </c>
      <c r="O83" s="138" t="s">
        <v>257</v>
      </c>
      <c r="P83" s="114">
        <f>SUM(J83*M83)</f>
        <v>23517469.98</v>
      </c>
      <c r="Q83" s="17" t="s">
        <v>245</v>
      </c>
      <c r="AD83" s="51"/>
      <c r="AE83" s="56"/>
      <c r="AF83" s="56"/>
    </row>
    <row r="84" spans="1:32" s="52" customFormat="1" ht="16.5" customHeight="1">
      <c r="A84" s="147"/>
      <c r="B84" s="119"/>
      <c r="C84" s="226" t="s">
        <v>459</v>
      </c>
      <c r="D84" s="148">
        <v>1000</v>
      </c>
      <c r="E84" s="149">
        <f>+P84/1000</f>
        <v>0</v>
      </c>
      <c r="F84" s="150">
        <v>135000</v>
      </c>
      <c r="G84" s="122">
        <f>+E84-D84</f>
        <v>-1000</v>
      </c>
      <c r="H84" s="151">
        <f>+G84/D84*100</f>
        <v>-100</v>
      </c>
      <c r="I84" s="227"/>
      <c r="J84" s="126"/>
      <c r="K84" s="127"/>
      <c r="L84" s="222"/>
      <c r="M84" s="128" t="s">
        <v>253</v>
      </c>
      <c r="N84" s="128"/>
      <c r="O84" s="128"/>
      <c r="P84" s="126">
        <f>SUM(P85:P85)</f>
        <v>0</v>
      </c>
      <c r="Q84" s="129" t="s">
        <v>245</v>
      </c>
      <c r="AD84" s="51"/>
      <c r="AE84" s="56"/>
      <c r="AF84" s="56"/>
    </row>
    <row r="85" spans="1:32" s="52" customFormat="1" ht="16.5" customHeight="1" thickBot="1">
      <c r="A85" s="228"/>
      <c r="B85" s="119"/>
      <c r="C85" s="229"/>
      <c r="D85" s="153"/>
      <c r="E85" s="154"/>
      <c r="F85" s="155"/>
      <c r="G85" s="133"/>
      <c r="H85" s="156"/>
      <c r="I85" s="225" t="s">
        <v>165</v>
      </c>
      <c r="J85" s="114">
        <v>0</v>
      </c>
      <c r="K85" s="115" t="s">
        <v>245</v>
      </c>
      <c r="L85" s="137" t="s">
        <v>251</v>
      </c>
      <c r="M85" s="116">
        <v>2</v>
      </c>
      <c r="N85" s="116" t="s">
        <v>255</v>
      </c>
      <c r="O85" s="138" t="s">
        <v>257</v>
      </c>
      <c r="P85" s="114">
        <f>J85*M85</f>
        <v>0</v>
      </c>
      <c r="Q85" s="17" t="s">
        <v>245</v>
      </c>
      <c r="AD85" s="51"/>
      <c r="AE85" s="56"/>
      <c r="AF85" s="56"/>
    </row>
    <row r="86" spans="1:32" ht="20.100000000000001" customHeight="1">
      <c r="A86" s="230" t="s">
        <v>277</v>
      </c>
      <c r="B86" s="231" t="s">
        <v>265</v>
      </c>
      <c r="C86" s="232"/>
      <c r="D86" s="233">
        <f>+D87+D112+D130+D152+D171+D202+D211+D218+D227+D257+D237+D246+1</f>
        <v>1119195</v>
      </c>
      <c r="E86" s="233">
        <f>+E87+E112+E130+E152+E171+E202+E211+E218+E227+E257+E237+E246</f>
        <v>946359.92998999998</v>
      </c>
      <c r="F86" s="234" t="e">
        <f>+F87+F112+F152+#REF!+#REF!+F171+F202+F211+F227+#REF!+F257+F237+F246+#REF!</f>
        <v>#REF!</v>
      </c>
      <c r="G86" s="235">
        <f>+E86-D86</f>
        <v>-172835.07001000002</v>
      </c>
      <c r="H86" s="236">
        <f>+G86/D86*100</f>
        <v>-15.442802193540894</v>
      </c>
      <c r="I86" s="237"/>
      <c r="J86" s="238"/>
      <c r="K86" s="239"/>
      <c r="L86" s="240"/>
      <c r="M86" s="240"/>
      <c r="N86" s="240"/>
      <c r="O86" s="240"/>
      <c r="P86" s="238">
        <f>+P87+P112+P130+P152+P171+P202+P211+P218+P227+P237+P246+P257</f>
        <v>946359929.99000001</v>
      </c>
      <c r="Q86" s="241" t="s">
        <v>245</v>
      </c>
    </row>
    <row r="87" spans="1:32" ht="20.100000000000001" customHeight="1">
      <c r="A87" s="105"/>
      <c r="B87" s="242" t="s">
        <v>406</v>
      </c>
      <c r="C87" s="243" t="s">
        <v>258</v>
      </c>
      <c r="D87" s="244">
        <f>SUM(D88:D101,D102:D111)</f>
        <v>134956</v>
      </c>
      <c r="E87" s="244">
        <f>SUM(E88:E101,E102:E111)</f>
        <v>123246</v>
      </c>
      <c r="F87" s="245">
        <f>SUM(F88:F101)</f>
        <v>59008</v>
      </c>
      <c r="G87" s="246">
        <f>+E87-D87</f>
        <v>-11710</v>
      </c>
      <c r="H87" s="247">
        <f>+G87/D87*100</f>
        <v>-8.6769021014256502</v>
      </c>
      <c r="I87" s="248"/>
      <c r="J87" s="249"/>
      <c r="K87" s="250"/>
      <c r="L87" s="251"/>
      <c r="M87" s="252" t="s">
        <v>253</v>
      </c>
      <c r="N87" s="252"/>
      <c r="O87" s="252"/>
      <c r="P87" s="249">
        <f>SUM(P88,P94,P97,P102,P104,P110)</f>
        <v>123246000</v>
      </c>
      <c r="Q87" s="117" t="s">
        <v>245</v>
      </c>
    </row>
    <row r="88" spans="1:32" ht="15.95" customHeight="1">
      <c r="A88" s="105"/>
      <c r="B88" s="253"/>
      <c r="C88" s="198" t="s">
        <v>416</v>
      </c>
      <c r="D88" s="254">
        <v>27550</v>
      </c>
      <c r="E88" s="255">
        <f>+P88/1000</f>
        <v>26700</v>
      </c>
      <c r="F88" s="256">
        <v>896</v>
      </c>
      <c r="G88" s="257">
        <f>+E88-D88</f>
        <v>-850</v>
      </c>
      <c r="H88" s="258">
        <f>+G88/D88*100</f>
        <v>-3.0852994555353903</v>
      </c>
      <c r="I88" s="182"/>
      <c r="J88" s="259"/>
      <c r="K88" s="127"/>
      <c r="L88" s="127"/>
      <c r="M88" s="152" t="s">
        <v>253</v>
      </c>
      <c r="N88" s="152"/>
      <c r="O88" s="152"/>
      <c r="P88" s="196">
        <f>SUM(P89:P93)</f>
        <v>26700000</v>
      </c>
      <c r="Q88" s="129" t="s">
        <v>245</v>
      </c>
    </row>
    <row r="89" spans="1:32" ht="15.95" customHeight="1">
      <c r="A89" s="105"/>
      <c r="B89" s="253"/>
      <c r="C89" s="199"/>
      <c r="D89" s="260"/>
      <c r="E89" s="261"/>
      <c r="F89" s="262"/>
      <c r="G89" s="263"/>
      <c r="H89" s="264"/>
      <c r="I89" s="265" t="s">
        <v>419</v>
      </c>
      <c r="J89" s="266">
        <v>275000</v>
      </c>
      <c r="K89" s="52" t="s">
        <v>245</v>
      </c>
      <c r="L89" s="267" t="s">
        <v>251</v>
      </c>
      <c r="M89" s="53">
        <v>1</v>
      </c>
      <c r="N89" s="53" t="s">
        <v>238</v>
      </c>
      <c r="O89" s="268" t="s">
        <v>257</v>
      </c>
      <c r="P89" s="266">
        <f>SUM(J89*M89)</f>
        <v>275000</v>
      </c>
      <c r="Q89" s="17" t="s">
        <v>245</v>
      </c>
    </row>
    <row r="90" spans="1:32" ht="15.95" customHeight="1">
      <c r="A90" s="105"/>
      <c r="B90" s="179"/>
      <c r="C90" s="199"/>
      <c r="D90" s="260"/>
      <c r="E90" s="261"/>
      <c r="F90" s="262"/>
      <c r="G90" s="263"/>
      <c r="H90" s="264"/>
      <c r="I90" s="265" t="s">
        <v>417</v>
      </c>
      <c r="J90" s="266">
        <v>15740000</v>
      </c>
      <c r="K90" s="52" t="s">
        <v>245</v>
      </c>
      <c r="L90" s="267" t="s">
        <v>251</v>
      </c>
      <c r="M90" s="53">
        <v>1</v>
      </c>
      <c r="N90" s="53" t="s">
        <v>255</v>
      </c>
      <c r="O90" s="268" t="s">
        <v>257</v>
      </c>
      <c r="P90" s="266">
        <f>SUM(J90*M90)</f>
        <v>15740000</v>
      </c>
      <c r="Q90" s="17" t="s">
        <v>245</v>
      </c>
    </row>
    <row r="91" spans="1:32" ht="15.95" customHeight="1">
      <c r="A91" s="105"/>
      <c r="B91" s="179"/>
      <c r="C91" s="199"/>
      <c r="D91" s="260"/>
      <c r="E91" s="261"/>
      <c r="F91" s="262"/>
      <c r="G91" s="263"/>
      <c r="H91" s="264"/>
      <c r="I91" s="265" t="s">
        <v>412</v>
      </c>
      <c r="J91" s="266">
        <v>385000</v>
      </c>
      <c r="K91" s="52" t="s">
        <v>245</v>
      </c>
      <c r="L91" s="267" t="s">
        <v>251</v>
      </c>
      <c r="M91" s="53">
        <v>1</v>
      </c>
      <c r="N91" s="53" t="s">
        <v>238</v>
      </c>
      <c r="O91" s="268" t="s">
        <v>257</v>
      </c>
      <c r="P91" s="266">
        <f>SUM(J91*M91)</f>
        <v>385000</v>
      </c>
      <c r="Q91" s="17" t="s">
        <v>245</v>
      </c>
    </row>
    <row r="92" spans="1:32" ht="15.95" customHeight="1">
      <c r="A92" s="105"/>
      <c r="B92" s="179"/>
      <c r="C92" s="199"/>
      <c r="D92" s="260"/>
      <c r="E92" s="261"/>
      <c r="F92" s="262"/>
      <c r="G92" s="263"/>
      <c r="H92" s="264"/>
      <c r="I92" s="265" t="s">
        <v>435</v>
      </c>
      <c r="J92" s="266">
        <v>1000000</v>
      </c>
      <c r="K92" s="52" t="s">
        <v>245</v>
      </c>
      <c r="L92" s="267" t="s">
        <v>251</v>
      </c>
      <c r="M92" s="53">
        <v>10</v>
      </c>
      <c r="N92" s="53" t="s">
        <v>287</v>
      </c>
      <c r="O92" s="268" t="s">
        <v>257</v>
      </c>
      <c r="P92" s="266">
        <f>SUM(J92*M92)</f>
        <v>10000000</v>
      </c>
      <c r="Q92" s="17" t="s">
        <v>245</v>
      </c>
    </row>
    <row r="93" spans="1:32" ht="15.95" customHeight="1">
      <c r="A93" s="105"/>
      <c r="B93" s="119"/>
      <c r="C93" s="269"/>
      <c r="D93" s="270"/>
      <c r="E93" s="271"/>
      <c r="F93" s="272"/>
      <c r="G93" s="273">
        <f>+E93-D93</f>
        <v>0</v>
      </c>
      <c r="H93" s="274" t="e">
        <f>+G93/D93*100</f>
        <v>#DIV/0!</v>
      </c>
      <c r="I93" s="186" t="s">
        <v>485</v>
      </c>
      <c r="J93" s="13">
        <v>150000</v>
      </c>
      <c r="K93" s="14" t="s">
        <v>245</v>
      </c>
      <c r="L93" s="15" t="s">
        <v>251</v>
      </c>
      <c r="M93" s="16">
        <v>2</v>
      </c>
      <c r="N93" s="16" t="s">
        <v>255</v>
      </c>
      <c r="O93" s="178" t="s">
        <v>257</v>
      </c>
      <c r="P93" s="13">
        <f>SUM(J93*M93)</f>
        <v>300000</v>
      </c>
      <c r="Q93" s="175" t="s">
        <v>245</v>
      </c>
    </row>
    <row r="94" spans="1:32" ht="15.95" customHeight="1">
      <c r="A94" s="105"/>
      <c r="B94" s="119"/>
      <c r="C94" s="275" t="s">
        <v>500</v>
      </c>
      <c r="D94" s="276">
        <v>18000</v>
      </c>
      <c r="E94" s="277">
        <f>+P94/1000</f>
        <v>12000</v>
      </c>
      <c r="F94" s="150">
        <v>8000</v>
      </c>
      <c r="G94" s="278">
        <f>+E94-D94</f>
        <v>-6000</v>
      </c>
      <c r="H94" s="279">
        <f>+G94/D94*100</f>
        <v>-33.333333333333329</v>
      </c>
      <c r="I94" s="158"/>
      <c r="J94" s="259"/>
      <c r="K94" s="127"/>
      <c r="L94" s="222"/>
      <c r="M94" s="152" t="s">
        <v>253</v>
      </c>
      <c r="N94" s="152"/>
      <c r="O94" s="152"/>
      <c r="P94" s="259">
        <f>SUM(P95:P96)</f>
        <v>12000000</v>
      </c>
      <c r="Q94" s="129" t="s">
        <v>245</v>
      </c>
    </row>
    <row r="95" spans="1:32" ht="15.95" customHeight="1">
      <c r="A95" s="105"/>
      <c r="B95" s="119"/>
      <c r="C95" s="280"/>
      <c r="D95" s="281"/>
      <c r="E95" s="282"/>
      <c r="F95" s="155"/>
      <c r="G95" s="283">
        <f>+E95-D95</f>
        <v>0</v>
      </c>
      <c r="H95" s="284" t="e">
        <f>+G95/D95*100</f>
        <v>#DIV/0!</v>
      </c>
      <c r="I95" s="285" t="s">
        <v>427</v>
      </c>
      <c r="J95" s="266">
        <v>6000000</v>
      </c>
      <c r="K95" s="52" t="s">
        <v>245</v>
      </c>
      <c r="L95" s="267" t="s">
        <v>251</v>
      </c>
      <c r="M95" s="53">
        <v>1</v>
      </c>
      <c r="N95" s="53" t="s">
        <v>288</v>
      </c>
      <c r="O95" s="268" t="s">
        <v>257</v>
      </c>
      <c r="P95" s="266">
        <f>SUM(J95*M95)</f>
        <v>6000000</v>
      </c>
      <c r="Q95" s="17" t="s">
        <v>245</v>
      </c>
    </row>
    <row r="96" spans="1:32" ht="15.95" customHeight="1">
      <c r="A96" s="105"/>
      <c r="B96" s="119"/>
      <c r="C96" s="286"/>
      <c r="D96" s="287"/>
      <c r="E96" s="288"/>
      <c r="F96" s="161"/>
      <c r="G96" s="289"/>
      <c r="H96" s="290"/>
      <c r="I96" s="291" t="s">
        <v>421</v>
      </c>
      <c r="J96" s="13">
        <v>6000000</v>
      </c>
      <c r="K96" s="14" t="s">
        <v>245</v>
      </c>
      <c r="L96" s="15" t="s">
        <v>251</v>
      </c>
      <c r="M96" s="16">
        <v>1</v>
      </c>
      <c r="N96" s="16" t="s">
        <v>288</v>
      </c>
      <c r="O96" s="178" t="s">
        <v>257</v>
      </c>
      <c r="P96" s="13">
        <f>SUM(J96*M96)</f>
        <v>6000000</v>
      </c>
      <c r="Q96" s="175" t="s">
        <v>245</v>
      </c>
    </row>
    <row r="97" spans="1:17" ht="15.95" customHeight="1">
      <c r="A97" s="292" t="s">
        <v>277</v>
      </c>
      <c r="B97" s="179" t="s">
        <v>406</v>
      </c>
      <c r="C97" s="226" t="s">
        <v>508</v>
      </c>
      <c r="D97" s="276">
        <v>54700</v>
      </c>
      <c r="E97" s="277">
        <f>+P97/1000</f>
        <v>50680</v>
      </c>
      <c r="F97" s="150">
        <v>50112</v>
      </c>
      <c r="G97" s="278">
        <f>+E97-D97</f>
        <v>-4020</v>
      </c>
      <c r="H97" s="279">
        <f>+G97/D97*100</f>
        <v>-7.3491773308957953</v>
      </c>
      <c r="I97" s="158"/>
      <c r="J97" s="259"/>
      <c r="K97" s="127"/>
      <c r="L97" s="222"/>
      <c r="M97" s="152" t="s">
        <v>253</v>
      </c>
      <c r="N97" s="152"/>
      <c r="O97" s="152"/>
      <c r="P97" s="259">
        <f>SUM(P98:P101)</f>
        <v>50680000</v>
      </c>
      <c r="Q97" s="129" t="s">
        <v>245</v>
      </c>
    </row>
    <row r="98" spans="1:17" ht="15.95" customHeight="1">
      <c r="A98" s="292"/>
      <c r="B98" s="106" t="s">
        <v>53</v>
      </c>
      <c r="C98" s="229"/>
      <c r="D98" s="281"/>
      <c r="E98" s="282"/>
      <c r="F98" s="155"/>
      <c r="G98" s="283">
        <f>+E98-D98</f>
        <v>0</v>
      </c>
      <c r="H98" s="284" t="e">
        <f>+G98/D98*100</f>
        <v>#DIV/0!</v>
      </c>
      <c r="I98" s="157" t="s">
        <v>430</v>
      </c>
      <c r="J98" s="293">
        <v>48000000</v>
      </c>
      <c r="K98" s="115" t="s">
        <v>245</v>
      </c>
      <c r="L98" s="137" t="s">
        <v>251</v>
      </c>
      <c r="M98" s="116">
        <v>1</v>
      </c>
      <c r="N98" s="116" t="s">
        <v>238</v>
      </c>
      <c r="O98" s="116" t="s">
        <v>257</v>
      </c>
      <c r="P98" s="293">
        <f>J98*M98</f>
        <v>48000000</v>
      </c>
      <c r="Q98" s="17" t="s">
        <v>245</v>
      </c>
    </row>
    <row r="99" spans="1:17" ht="15.95" customHeight="1">
      <c r="A99" s="105"/>
      <c r="B99" s="119"/>
      <c r="C99" s="229"/>
      <c r="D99" s="281"/>
      <c r="E99" s="282"/>
      <c r="F99" s="155"/>
      <c r="G99" s="283"/>
      <c r="H99" s="284"/>
      <c r="I99" s="157" t="s">
        <v>503</v>
      </c>
      <c r="J99" s="266">
        <v>600000</v>
      </c>
      <c r="K99" s="52" t="s">
        <v>245</v>
      </c>
      <c r="L99" s="267" t="s">
        <v>251</v>
      </c>
      <c r="M99" s="53">
        <v>1</v>
      </c>
      <c r="N99" s="53" t="s">
        <v>255</v>
      </c>
      <c r="O99" s="53" t="s">
        <v>257</v>
      </c>
      <c r="P99" s="266">
        <f>J99*M99</f>
        <v>600000</v>
      </c>
      <c r="Q99" s="17" t="s">
        <v>245</v>
      </c>
    </row>
    <row r="100" spans="1:17" ht="15.95" customHeight="1">
      <c r="A100" s="105"/>
      <c r="B100" s="119"/>
      <c r="C100" s="229"/>
      <c r="D100" s="281"/>
      <c r="E100" s="282"/>
      <c r="F100" s="155"/>
      <c r="G100" s="283"/>
      <c r="H100" s="284"/>
      <c r="I100" s="157" t="s">
        <v>428</v>
      </c>
      <c r="J100" s="266">
        <v>1580000</v>
      </c>
      <c r="K100" s="52" t="s">
        <v>245</v>
      </c>
      <c r="L100" s="267" t="s">
        <v>251</v>
      </c>
      <c r="M100" s="53">
        <v>1</v>
      </c>
      <c r="N100" s="53" t="s">
        <v>238</v>
      </c>
      <c r="O100" s="53" t="s">
        <v>257</v>
      </c>
      <c r="P100" s="266">
        <f>J100*M100</f>
        <v>1580000</v>
      </c>
      <c r="Q100" s="17" t="s">
        <v>245</v>
      </c>
    </row>
    <row r="101" spans="1:17" ht="15.95" customHeight="1">
      <c r="A101" s="105"/>
      <c r="B101" s="119"/>
      <c r="C101" s="294"/>
      <c r="D101" s="287"/>
      <c r="E101" s="288"/>
      <c r="F101" s="161"/>
      <c r="G101" s="289">
        <f>+E101-D101</f>
        <v>0</v>
      </c>
      <c r="H101" s="290" t="e">
        <f>+G101/D101*100</f>
        <v>#DIV/0!</v>
      </c>
      <c r="I101" s="172" t="s">
        <v>415</v>
      </c>
      <c r="J101" s="13">
        <v>500000</v>
      </c>
      <c r="K101" s="14" t="s">
        <v>245</v>
      </c>
      <c r="L101" s="15" t="s">
        <v>281</v>
      </c>
      <c r="M101" s="16">
        <v>1</v>
      </c>
      <c r="N101" s="16" t="s">
        <v>238</v>
      </c>
      <c r="O101" s="178" t="s">
        <v>257</v>
      </c>
      <c r="P101" s="13">
        <f>SUM(J101*M101)</f>
        <v>500000</v>
      </c>
      <c r="Q101" s="175" t="s">
        <v>245</v>
      </c>
    </row>
    <row r="102" spans="1:17" ht="15.95" customHeight="1">
      <c r="A102" s="292"/>
      <c r="B102" s="179"/>
      <c r="C102" s="226" t="s">
        <v>494</v>
      </c>
      <c r="D102" s="276">
        <v>1716</v>
      </c>
      <c r="E102" s="277">
        <f>P102/1000</f>
        <v>1716</v>
      </c>
      <c r="F102" s="141"/>
      <c r="G102" s="278">
        <f>E102-D102</f>
        <v>0</v>
      </c>
      <c r="H102" s="279">
        <f>G102/D102*100</f>
        <v>0</v>
      </c>
      <c r="I102" s="209"/>
      <c r="J102" s="19"/>
      <c r="K102" s="18"/>
      <c r="L102" s="21"/>
      <c r="M102" s="295" t="s">
        <v>253</v>
      </c>
      <c r="N102" s="295"/>
      <c r="O102" s="295"/>
      <c r="P102" s="19">
        <f>SUM(P103:P103)</f>
        <v>1716000</v>
      </c>
      <c r="Q102" s="23" t="s">
        <v>245</v>
      </c>
    </row>
    <row r="103" spans="1:17" ht="15.95" customHeight="1">
      <c r="A103" s="292"/>
      <c r="B103" s="106"/>
      <c r="C103" s="131"/>
      <c r="D103" s="281"/>
      <c r="E103" s="282"/>
      <c r="F103" s="141"/>
      <c r="G103" s="283"/>
      <c r="H103" s="284"/>
      <c r="I103" s="296" t="s">
        <v>505</v>
      </c>
      <c r="J103" s="293">
        <v>143000</v>
      </c>
      <c r="K103" s="115" t="s">
        <v>245</v>
      </c>
      <c r="L103" s="137" t="s">
        <v>251</v>
      </c>
      <c r="M103" s="116">
        <v>12</v>
      </c>
      <c r="N103" s="116" t="s">
        <v>246</v>
      </c>
      <c r="O103" s="116" t="s">
        <v>257</v>
      </c>
      <c r="P103" s="293">
        <f>J103*M103</f>
        <v>1716000</v>
      </c>
      <c r="Q103" s="17" t="s">
        <v>245</v>
      </c>
    </row>
    <row r="104" spans="1:17" ht="15" customHeight="1">
      <c r="A104" s="105"/>
      <c r="B104" s="119"/>
      <c r="C104" s="120" t="s">
        <v>227</v>
      </c>
      <c r="D104" s="276">
        <v>32740</v>
      </c>
      <c r="E104" s="277">
        <f>P104/1000</f>
        <v>32150</v>
      </c>
      <c r="F104" s="141"/>
      <c r="G104" s="278">
        <f>E104-D104</f>
        <v>-590</v>
      </c>
      <c r="H104" s="279">
        <f>G104/D104*100</f>
        <v>-1.8020769700671961</v>
      </c>
      <c r="I104" s="182"/>
      <c r="J104" s="126"/>
      <c r="K104" s="127"/>
      <c r="L104" s="222"/>
      <c r="M104" s="152" t="s">
        <v>253</v>
      </c>
      <c r="N104" s="152"/>
      <c r="O104" s="152"/>
      <c r="P104" s="126">
        <f>SUM(P105:P109)</f>
        <v>32150000</v>
      </c>
      <c r="Q104" s="129" t="s">
        <v>245</v>
      </c>
    </row>
    <row r="105" spans="1:17" ht="15" customHeight="1">
      <c r="A105" s="105"/>
      <c r="B105" s="119"/>
      <c r="C105" s="131"/>
      <c r="D105" s="281"/>
      <c r="E105" s="282"/>
      <c r="F105" s="141"/>
      <c r="G105" s="283"/>
      <c r="H105" s="284"/>
      <c r="I105" s="296" t="s">
        <v>299</v>
      </c>
      <c r="J105" s="19">
        <v>0</v>
      </c>
      <c r="K105" s="18" t="s">
        <v>245</v>
      </c>
      <c r="L105" s="21" t="s">
        <v>251</v>
      </c>
      <c r="M105" s="20">
        <v>1</v>
      </c>
      <c r="N105" s="20" t="s">
        <v>255</v>
      </c>
      <c r="O105" s="116" t="s">
        <v>257</v>
      </c>
      <c r="P105" s="293">
        <f>SUM(J105*M105)</f>
        <v>0</v>
      </c>
      <c r="Q105" s="17" t="s">
        <v>245</v>
      </c>
    </row>
    <row r="106" spans="1:17" ht="15" customHeight="1">
      <c r="A106" s="105"/>
      <c r="B106" s="119"/>
      <c r="C106" s="131"/>
      <c r="D106" s="281"/>
      <c r="E106" s="282"/>
      <c r="F106" s="141"/>
      <c r="G106" s="283"/>
      <c r="H106" s="284"/>
      <c r="I106" s="296" t="s">
        <v>474</v>
      </c>
      <c r="J106" s="19">
        <v>0</v>
      </c>
      <c r="K106" s="18" t="s">
        <v>245</v>
      </c>
      <c r="L106" s="21" t="s">
        <v>251</v>
      </c>
      <c r="M106" s="20">
        <v>1</v>
      </c>
      <c r="N106" s="20" t="s">
        <v>255</v>
      </c>
      <c r="O106" s="116" t="s">
        <v>257</v>
      </c>
      <c r="P106" s="293">
        <f>SUM(J106*M106)</f>
        <v>0</v>
      </c>
      <c r="Q106" s="17" t="s">
        <v>245</v>
      </c>
    </row>
    <row r="107" spans="1:17" ht="15" customHeight="1">
      <c r="A107" s="105"/>
      <c r="B107" s="119"/>
      <c r="C107" s="131"/>
      <c r="D107" s="281"/>
      <c r="E107" s="282"/>
      <c r="F107" s="141"/>
      <c r="G107" s="283"/>
      <c r="H107" s="284"/>
      <c r="I107" s="296" t="s">
        <v>304</v>
      </c>
      <c r="J107" s="19">
        <v>0</v>
      </c>
      <c r="K107" s="18" t="s">
        <v>245</v>
      </c>
      <c r="L107" s="21" t="s">
        <v>251</v>
      </c>
      <c r="M107" s="20">
        <v>2</v>
      </c>
      <c r="N107" s="20" t="s">
        <v>255</v>
      </c>
      <c r="O107" s="116" t="s">
        <v>257</v>
      </c>
      <c r="P107" s="293">
        <f>SUM(J107*M107)</f>
        <v>0</v>
      </c>
      <c r="Q107" s="17" t="s">
        <v>245</v>
      </c>
    </row>
    <row r="108" spans="1:17" ht="15.95" customHeight="1">
      <c r="A108" s="105"/>
      <c r="B108" s="119"/>
      <c r="C108" s="131"/>
      <c r="D108" s="281"/>
      <c r="E108" s="282"/>
      <c r="F108" s="141"/>
      <c r="G108" s="283"/>
      <c r="H108" s="284"/>
      <c r="I108" s="297" t="s">
        <v>321</v>
      </c>
      <c r="J108" s="19">
        <v>1250000</v>
      </c>
      <c r="K108" s="18" t="s">
        <v>245</v>
      </c>
      <c r="L108" s="21" t="s">
        <v>251</v>
      </c>
      <c r="M108" s="20">
        <v>7</v>
      </c>
      <c r="N108" s="20" t="s">
        <v>255</v>
      </c>
      <c r="O108" s="116" t="s">
        <v>257</v>
      </c>
      <c r="P108" s="293">
        <f>SUM(J108*M108)</f>
        <v>8750000</v>
      </c>
      <c r="Q108" s="17" t="s">
        <v>245</v>
      </c>
    </row>
    <row r="109" spans="1:17" ht="15.95" customHeight="1">
      <c r="A109" s="105"/>
      <c r="B109" s="119"/>
      <c r="C109" s="142"/>
      <c r="D109" s="287"/>
      <c r="E109" s="288"/>
      <c r="F109" s="141"/>
      <c r="G109" s="289"/>
      <c r="H109" s="290"/>
      <c r="I109" s="296" t="s">
        <v>236</v>
      </c>
      <c r="J109" s="19">
        <v>1950000</v>
      </c>
      <c r="K109" s="18" t="s">
        <v>245</v>
      </c>
      <c r="L109" s="21" t="s">
        <v>251</v>
      </c>
      <c r="M109" s="20">
        <v>12</v>
      </c>
      <c r="N109" s="20" t="s">
        <v>255</v>
      </c>
      <c r="O109" s="116" t="s">
        <v>257</v>
      </c>
      <c r="P109" s="293">
        <v>23400000</v>
      </c>
      <c r="Q109" s="17" t="s">
        <v>245</v>
      </c>
    </row>
    <row r="110" spans="1:17" ht="15.95" customHeight="1">
      <c r="A110" s="105"/>
      <c r="B110" s="119"/>
      <c r="C110" s="120" t="s">
        <v>194</v>
      </c>
      <c r="D110" s="276">
        <v>250</v>
      </c>
      <c r="E110" s="277">
        <f>P110/1000</f>
        <v>0</v>
      </c>
      <c r="F110" s="141"/>
      <c r="G110" s="278">
        <f>E110-D110</f>
        <v>-250</v>
      </c>
      <c r="H110" s="279">
        <f>G110/D110*100</f>
        <v>-100</v>
      </c>
      <c r="I110" s="182"/>
      <c r="J110" s="126"/>
      <c r="K110" s="127"/>
      <c r="L110" s="222"/>
      <c r="M110" s="152" t="s">
        <v>253</v>
      </c>
      <c r="N110" s="152"/>
      <c r="O110" s="152"/>
      <c r="P110" s="126">
        <f>SUM(P111:P111)</f>
        <v>0</v>
      </c>
      <c r="Q110" s="129" t="s">
        <v>245</v>
      </c>
    </row>
    <row r="111" spans="1:17" ht="15.95" customHeight="1">
      <c r="A111" s="105"/>
      <c r="B111" s="177"/>
      <c r="C111" s="142"/>
      <c r="D111" s="287"/>
      <c r="E111" s="288"/>
      <c r="F111" s="141"/>
      <c r="G111" s="289"/>
      <c r="H111" s="290"/>
      <c r="I111" s="223" t="s">
        <v>194</v>
      </c>
      <c r="J111" s="13">
        <v>0</v>
      </c>
      <c r="K111" s="14" t="s">
        <v>245</v>
      </c>
      <c r="L111" s="15" t="s">
        <v>251</v>
      </c>
      <c r="M111" s="16">
        <v>0</v>
      </c>
      <c r="N111" s="16" t="s">
        <v>255</v>
      </c>
      <c r="O111" s="16" t="s">
        <v>257</v>
      </c>
      <c r="P111" s="13">
        <f>SUM(J111*M111)</f>
        <v>0</v>
      </c>
      <c r="Q111" s="175" t="s">
        <v>245</v>
      </c>
    </row>
    <row r="112" spans="1:17" ht="20.100000000000001" customHeight="1">
      <c r="A112" s="292"/>
      <c r="B112" s="189" t="s">
        <v>228</v>
      </c>
      <c r="C112" s="298" t="s">
        <v>51</v>
      </c>
      <c r="D112" s="299">
        <f>SUM(D113:D128)</f>
        <v>116300</v>
      </c>
      <c r="E112" s="300">
        <f>P112/1000</f>
        <v>116300</v>
      </c>
      <c r="F112" s="301">
        <f>SUM(F113:F131)</f>
        <v>161152</v>
      </c>
      <c r="G112" s="302">
        <f>+E112-D112</f>
        <v>0</v>
      </c>
      <c r="H112" s="303">
        <f>+G112/D112*100</f>
        <v>0</v>
      </c>
      <c r="I112" s="304"/>
      <c r="J112" s="249"/>
      <c r="K112" s="250"/>
      <c r="L112" s="250"/>
      <c r="M112" s="252"/>
      <c r="N112" s="252"/>
      <c r="O112" s="252"/>
      <c r="P112" s="305">
        <f>SUM(P113,P116,P120,P124,P127)</f>
        <v>116300000</v>
      </c>
      <c r="Q112" s="117" t="s">
        <v>245</v>
      </c>
    </row>
    <row r="113" spans="1:17" ht="15.75" customHeight="1">
      <c r="A113" s="105"/>
      <c r="B113" s="106"/>
      <c r="C113" s="120" t="s">
        <v>158</v>
      </c>
      <c r="D113" s="276">
        <v>36620</v>
      </c>
      <c r="E113" s="277">
        <f>+P113/1000</f>
        <v>36620</v>
      </c>
      <c r="F113" s="150">
        <v>96000</v>
      </c>
      <c r="G113" s="278">
        <f>+E113-D113</f>
        <v>0</v>
      </c>
      <c r="H113" s="279">
        <f>+G113/D113*100</f>
        <v>0</v>
      </c>
      <c r="I113" s="182"/>
      <c r="J113" s="259"/>
      <c r="K113" s="127"/>
      <c r="L113" s="222"/>
      <c r="M113" s="152" t="s">
        <v>253</v>
      </c>
      <c r="N113" s="152"/>
      <c r="O113" s="152"/>
      <c r="P113" s="196">
        <f>SUM(P114:P115)</f>
        <v>36620000</v>
      </c>
      <c r="Q113" s="129" t="s">
        <v>245</v>
      </c>
    </row>
    <row r="114" spans="1:17" ht="15.75" customHeight="1">
      <c r="A114" s="105"/>
      <c r="B114" s="119"/>
      <c r="C114" s="131"/>
      <c r="D114" s="281"/>
      <c r="E114" s="282"/>
      <c r="F114" s="155"/>
      <c r="G114" s="283"/>
      <c r="H114" s="284"/>
      <c r="I114" s="184" t="s">
        <v>451</v>
      </c>
      <c r="J114" s="293">
        <v>10000</v>
      </c>
      <c r="K114" s="115" t="s">
        <v>245</v>
      </c>
      <c r="L114" s="137" t="s">
        <v>251</v>
      </c>
      <c r="M114" s="116">
        <v>2</v>
      </c>
      <c r="N114" s="116" t="s">
        <v>255</v>
      </c>
      <c r="O114" s="116" t="s">
        <v>257</v>
      </c>
      <c r="P114" s="200">
        <v>20000</v>
      </c>
      <c r="Q114" s="17" t="s">
        <v>245</v>
      </c>
    </row>
    <row r="115" spans="1:17" ht="15.75" customHeight="1">
      <c r="A115" s="105"/>
      <c r="B115" s="119"/>
      <c r="C115" s="142"/>
      <c r="D115" s="287"/>
      <c r="E115" s="288"/>
      <c r="F115" s="161"/>
      <c r="G115" s="289"/>
      <c r="H115" s="290"/>
      <c r="I115" s="306" t="s">
        <v>166</v>
      </c>
      <c r="J115" s="25">
        <v>9150000</v>
      </c>
      <c r="K115" s="307" t="s">
        <v>245</v>
      </c>
      <c r="L115" s="27" t="s">
        <v>251</v>
      </c>
      <c r="M115" s="26">
        <v>4</v>
      </c>
      <c r="N115" s="26" t="s">
        <v>255</v>
      </c>
      <c r="O115" s="28" t="s">
        <v>257</v>
      </c>
      <c r="P115" s="25">
        <f>SUM(J115*M115)</f>
        <v>36600000</v>
      </c>
      <c r="Q115" s="29" t="s">
        <v>245</v>
      </c>
    </row>
    <row r="116" spans="1:17" ht="15.75" customHeight="1">
      <c r="A116" s="105"/>
      <c r="B116" s="119"/>
      <c r="C116" s="308" t="s">
        <v>83</v>
      </c>
      <c r="D116" s="309">
        <v>18220</v>
      </c>
      <c r="E116" s="310">
        <f>+P116/1000</f>
        <v>18220</v>
      </c>
      <c r="F116" s="167">
        <v>11052</v>
      </c>
      <c r="G116" s="311">
        <f>+E116-D116</f>
        <v>0</v>
      </c>
      <c r="H116" s="312">
        <f>+G116/D116*100</f>
        <v>0</v>
      </c>
      <c r="I116" s="158"/>
      <c r="J116" s="259"/>
      <c r="K116" s="127"/>
      <c r="L116" s="222"/>
      <c r="M116" s="152" t="s">
        <v>253</v>
      </c>
      <c r="N116" s="152"/>
      <c r="O116" s="152"/>
      <c r="P116" s="259">
        <f>SUM(P117:P119)</f>
        <v>18220000</v>
      </c>
      <c r="Q116" s="129" t="s">
        <v>245</v>
      </c>
    </row>
    <row r="117" spans="1:17" ht="15.75" customHeight="1">
      <c r="A117" s="105"/>
      <c r="B117" s="119"/>
      <c r="C117" s="308"/>
      <c r="D117" s="309"/>
      <c r="E117" s="310"/>
      <c r="F117" s="167"/>
      <c r="G117" s="311">
        <f>+E117-D117</f>
        <v>0</v>
      </c>
      <c r="H117" s="312" t="e">
        <f>+G117/D117*100</f>
        <v>#DIV/0!</v>
      </c>
      <c r="I117" s="157" t="s">
        <v>451</v>
      </c>
      <c r="J117" s="293">
        <v>10000</v>
      </c>
      <c r="K117" s="115" t="s">
        <v>245</v>
      </c>
      <c r="L117" s="137" t="s">
        <v>281</v>
      </c>
      <c r="M117" s="116">
        <v>2</v>
      </c>
      <c r="N117" s="116" t="s">
        <v>255</v>
      </c>
      <c r="O117" s="116" t="s">
        <v>257</v>
      </c>
      <c r="P117" s="293">
        <f>SUM(J117*M117)</f>
        <v>20000</v>
      </c>
      <c r="Q117" s="17" t="s">
        <v>245</v>
      </c>
    </row>
    <row r="118" spans="1:17" ht="15.75" customHeight="1">
      <c r="A118" s="105"/>
      <c r="B118" s="119"/>
      <c r="C118" s="308"/>
      <c r="D118" s="309"/>
      <c r="E118" s="310"/>
      <c r="F118" s="167"/>
      <c r="G118" s="311"/>
      <c r="H118" s="312"/>
      <c r="I118" s="157" t="s">
        <v>380</v>
      </c>
      <c r="J118" s="293">
        <v>1600000</v>
      </c>
      <c r="K118" s="115" t="s">
        <v>245</v>
      </c>
      <c r="L118" s="137" t="s">
        <v>251</v>
      </c>
      <c r="M118" s="116">
        <v>2</v>
      </c>
      <c r="N118" s="116" t="s">
        <v>255</v>
      </c>
      <c r="O118" s="116" t="s">
        <v>257</v>
      </c>
      <c r="P118" s="293">
        <f>SUM(J118*M118)</f>
        <v>3200000</v>
      </c>
      <c r="Q118" s="17" t="s">
        <v>245</v>
      </c>
    </row>
    <row r="119" spans="1:17" ht="15.75" customHeight="1">
      <c r="A119" s="105"/>
      <c r="B119" s="119"/>
      <c r="C119" s="308"/>
      <c r="D119" s="309"/>
      <c r="E119" s="310"/>
      <c r="F119" s="167"/>
      <c r="G119" s="311"/>
      <c r="H119" s="312"/>
      <c r="I119" s="157" t="s">
        <v>488</v>
      </c>
      <c r="J119" s="293">
        <v>1500000</v>
      </c>
      <c r="K119" s="115" t="s">
        <v>245</v>
      </c>
      <c r="L119" s="137" t="s">
        <v>251</v>
      </c>
      <c r="M119" s="116">
        <v>10</v>
      </c>
      <c r="N119" s="116" t="s">
        <v>255</v>
      </c>
      <c r="O119" s="116"/>
      <c r="P119" s="293">
        <f>SUM(J119*M119)</f>
        <v>15000000</v>
      </c>
      <c r="Q119" s="17" t="s">
        <v>245</v>
      </c>
    </row>
    <row r="120" spans="1:17" ht="15.95" customHeight="1">
      <c r="A120" s="292"/>
      <c r="B120" s="106"/>
      <c r="C120" s="120" t="s">
        <v>97</v>
      </c>
      <c r="D120" s="276">
        <v>23020</v>
      </c>
      <c r="E120" s="277">
        <f>+P120/1000</f>
        <v>23020</v>
      </c>
      <c r="F120" s="167">
        <v>20000</v>
      </c>
      <c r="G120" s="278">
        <f>+E120-D120</f>
        <v>0</v>
      </c>
      <c r="H120" s="313">
        <f>+G120/D120*100</f>
        <v>0</v>
      </c>
      <c r="I120" s="158"/>
      <c r="J120" s="259"/>
      <c r="K120" s="127"/>
      <c r="L120" s="222"/>
      <c r="M120" s="152" t="s">
        <v>253</v>
      </c>
      <c r="N120" s="152"/>
      <c r="O120" s="152"/>
      <c r="P120" s="259">
        <f>SUM(P121:P123)</f>
        <v>23020000</v>
      </c>
      <c r="Q120" s="129" t="s">
        <v>245</v>
      </c>
    </row>
    <row r="121" spans="1:17" ht="15.95" customHeight="1">
      <c r="A121" s="105"/>
      <c r="B121" s="106"/>
      <c r="C121" s="131"/>
      <c r="D121" s="281"/>
      <c r="E121" s="282"/>
      <c r="F121" s="167"/>
      <c r="G121" s="283"/>
      <c r="H121" s="314"/>
      <c r="I121" s="157" t="s">
        <v>122</v>
      </c>
      <c r="J121" s="293">
        <v>10000</v>
      </c>
      <c r="K121" s="115" t="s">
        <v>245</v>
      </c>
      <c r="L121" s="137" t="s">
        <v>251</v>
      </c>
      <c r="M121" s="116">
        <v>2</v>
      </c>
      <c r="N121" s="116" t="s">
        <v>255</v>
      </c>
      <c r="O121" s="138" t="s">
        <v>257</v>
      </c>
      <c r="P121" s="293">
        <f>SUM(J121*M121)</f>
        <v>20000</v>
      </c>
      <c r="Q121" s="17" t="s">
        <v>245</v>
      </c>
    </row>
    <row r="122" spans="1:17" ht="15.95" customHeight="1">
      <c r="A122" s="105"/>
      <c r="B122" s="315"/>
      <c r="C122" s="131"/>
      <c r="D122" s="281"/>
      <c r="E122" s="282"/>
      <c r="F122" s="167"/>
      <c r="G122" s="283"/>
      <c r="H122" s="314"/>
      <c r="I122" s="157" t="s">
        <v>78</v>
      </c>
      <c r="J122" s="293">
        <v>4000000</v>
      </c>
      <c r="K122" s="115" t="s">
        <v>245</v>
      </c>
      <c r="L122" s="137" t="s">
        <v>251</v>
      </c>
      <c r="M122" s="116">
        <v>2</v>
      </c>
      <c r="N122" s="116" t="s">
        <v>255</v>
      </c>
      <c r="O122" s="138" t="s">
        <v>257</v>
      </c>
      <c r="P122" s="293">
        <f>SUM(J122*M122)</f>
        <v>8000000</v>
      </c>
      <c r="Q122" s="17" t="s">
        <v>245</v>
      </c>
    </row>
    <row r="123" spans="1:17" ht="15.95" customHeight="1">
      <c r="A123" s="105"/>
      <c r="B123" s="315"/>
      <c r="C123" s="142"/>
      <c r="D123" s="287"/>
      <c r="E123" s="288"/>
      <c r="F123" s="123"/>
      <c r="G123" s="289"/>
      <c r="H123" s="316"/>
      <c r="I123" s="157" t="s">
        <v>48</v>
      </c>
      <c r="J123" s="293">
        <v>7500000</v>
      </c>
      <c r="K123" s="115" t="s">
        <v>245</v>
      </c>
      <c r="L123" s="137" t="s">
        <v>251</v>
      </c>
      <c r="M123" s="116">
        <v>2</v>
      </c>
      <c r="N123" s="116" t="s">
        <v>255</v>
      </c>
      <c r="O123" s="138" t="s">
        <v>257</v>
      </c>
      <c r="P123" s="293">
        <f>SUM(J123*M123)</f>
        <v>15000000</v>
      </c>
      <c r="Q123" s="115" t="s">
        <v>245</v>
      </c>
    </row>
    <row r="124" spans="1:17" ht="15.95" customHeight="1">
      <c r="A124" s="105"/>
      <c r="B124" s="315"/>
      <c r="C124" s="120" t="s">
        <v>67</v>
      </c>
      <c r="D124" s="276">
        <v>20420</v>
      </c>
      <c r="E124" s="277">
        <f>+P124/1000</f>
        <v>20420</v>
      </c>
      <c r="F124" s="123"/>
      <c r="G124" s="278">
        <f>+E124-D124</f>
        <v>0</v>
      </c>
      <c r="H124" s="317">
        <f>+G124/D124*100</f>
        <v>0</v>
      </c>
      <c r="I124" s="158"/>
      <c r="J124" s="259"/>
      <c r="K124" s="127"/>
      <c r="L124" s="222"/>
      <c r="M124" s="152" t="s">
        <v>253</v>
      </c>
      <c r="N124" s="152"/>
      <c r="O124" s="152"/>
      <c r="P124" s="259">
        <f>SUM(P125:P126)</f>
        <v>20420000</v>
      </c>
      <c r="Q124" s="127" t="s">
        <v>245</v>
      </c>
    </row>
    <row r="125" spans="1:17" ht="15.95" customHeight="1">
      <c r="A125" s="105"/>
      <c r="B125" s="119"/>
      <c r="C125" s="131"/>
      <c r="D125" s="281"/>
      <c r="E125" s="282"/>
      <c r="F125" s="318">
        <v>16000</v>
      </c>
      <c r="G125" s="283"/>
      <c r="H125" s="319"/>
      <c r="I125" s="157" t="s">
        <v>122</v>
      </c>
      <c r="J125" s="293">
        <v>10000</v>
      </c>
      <c r="K125" s="115" t="s">
        <v>245</v>
      </c>
      <c r="L125" s="137" t="s">
        <v>251</v>
      </c>
      <c r="M125" s="116">
        <v>2</v>
      </c>
      <c r="N125" s="116" t="s">
        <v>255</v>
      </c>
      <c r="O125" s="138" t="s">
        <v>257</v>
      </c>
      <c r="P125" s="293">
        <f>SUM(J125*M125)</f>
        <v>20000</v>
      </c>
      <c r="Q125" s="115" t="s">
        <v>245</v>
      </c>
    </row>
    <row r="126" spans="1:17" ht="15.95" customHeight="1">
      <c r="A126" s="105"/>
      <c r="B126" s="119"/>
      <c r="C126" s="142"/>
      <c r="D126" s="287"/>
      <c r="E126" s="288"/>
      <c r="F126" s="301"/>
      <c r="G126" s="289"/>
      <c r="H126" s="320"/>
      <c r="I126" s="223" t="s">
        <v>78</v>
      </c>
      <c r="J126" s="321">
        <v>5100000</v>
      </c>
      <c r="K126" s="14" t="s">
        <v>245</v>
      </c>
      <c r="L126" s="15" t="s">
        <v>251</v>
      </c>
      <c r="M126" s="16">
        <v>4</v>
      </c>
      <c r="N126" s="16" t="s">
        <v>255</v>
      </c>
      <c r="O126" s="178" t="s">
        <v>257</v>
      </c>
      <c r="P126" s="321">
        <f>SUM(J126*M126)</f>
        <v>20400000</v>
      </c>
      <c r="Q126" s="14" t="s">
        <v>245</v>
      </c>
    </row>
    <row r="127" spans="1:17" ht="15.95" customHeight="1">
      <c r="A127" s="105"/>
      <c r="B127" s="119"/>
      <c r="C127" s="181" t="s">
        <v>68</v>
      </c>
      <c r="D127" s="276">
        <v>18020</v>
      </c>
      <c r="E127" s="277">
        <f>+P127/1000</f>
        <v>18020</v>
      </c>
      <c r="F127" s="150">
        <v>18100</v>
      </c>
      <c r="G127" s="278">
        <f>+E127-D127</f>
        <v>0</v>
      </c>
      <c r="H127" s="279">
        <f>+G127/D127*100</f>
        <v>0</v>
      </c>
      <c r="I127" s="182"/>
      <c r="J127" s="259"/>
      <c r="K127" s="127"/>
      <c r="L127" s="222"/>
      <c r="M127" s="152" t="s">
        <v>253</v>
      </c>
      <c r="N127" s="152"/>
      <c r="O127" s="152"/>
      <c r="P127" s="259">
        <f>SUM(P128:P129)</f>
        <v>18020000</v>
      </c>
      <c r="Q127" s="129" t="s">
        <v>245</v>
      </c>
    </row>
    <row r="128" spans="1:17" ht="15.95" customHeight="1">
      <c r="A128" s="105"/>
      <c r="B128" s="119"/>
      <c r="C128" s="183"/>
      <c r="D128" s="281"/>
      <c r="E128" s="282"/>
      <c r="F128" s="155"/>
      <c r="G128" s="283">
        <f>+E128-D128</f>
        <v>0</v>
      </c>
      <c r="H128" s="284" t="e">
        <f>+G128/D128*100</f>
        <v>#DIV/0!</v>
      </c>
      <c r="I128" s="184" t="s">
        <v>122</v>
      </c>
      <c r="J128" s="293">
        <v>10000</v>
      </c>
      <c r="K128" s="115" t="s">
        <v>245</v>
      </c>
      <c r="L128" s="137" t="s">
        <v>251</v>
      </c>
      <c r="M128" s="116">
        <v>2</v>
      </c>
      <c r="N128" s="116" t="s">
        <v>255</v>
      </c>
      <c r="O128" s="138" t="s">
        <v>257</v>
      </c>
      <c r="P128" s="293">
        <f>SUM(J128*M128)</f>
        <v>20000</v>
      </c>
      <c r="Q128" s="17" t="s">
        <v>245</v>
      </c>
    </row>
    <row r="129" spans="1:17" ht="15.95" customHeight="1">
      <c r="A129" s="105"/>
      <c r="B129" s="177"/>
      <c r="C129" s="185"/>
      <c r="D129" s="287"/>
      <c r="E129" s="288"/>
      <c r="F129" s="161"/>
      <c r="G129" s="289">
        <f>+E129-D129</f>
        <v>0</v>
      </c>
      <c r="H129" s="290" t="e">
        <f>+G129/D129*100</f>
        <v>#DIV/0!</v>
      </c>
      <c r="I129" s="186" t="s">
        <v>166</v>
      </c>
      <c r="J129" s="13">
        <v>4500000</v>
      </c>
      <c r="K129" s="14" t="s">
        <v>245</v>
      </c>
      <c r="L129" s="15" t="s">
        <v>251</v>
      </c>
      <c r="M129" s="16">
        <v>4</v>
      </c>
      <c r="N129" s="16" t="s">
        <v>255</v>
      </c>
      <c r="O129" s="178" t="s">
        <v>257</v>
      </c>
      <c r="P129" s="13">
        <f>SUM(J129*M129)</f>
        <v>18000000</v>
      </c>
      <c r="Q129" s="175" t="s">
        <v>245</v>
      </c>
    </row>
    <row r="130" spans="1:17" ht="15.95" customHeight="1">
      <c r="A130" s="292" t="s">
        <v>277</v>
      </c>
      <c r="B130" s="322" t="s">
        <v>405</v>
      </c>
      <c r="C130" s="323" t="s">
        <v>258</v>
      </c>
      <c r="D130" s="324">
        <f>SUM(D131:D151)</f>
        <v>369986</v>
      </c>
      <c r="E130" s="324">
        <f>P130/1000</f>
        <v>334136.11499000003</v>
      </c>
      <c r="F130" s="134"/>
      <c r="G130" s="325">
        <f>E130-D130</f>
        <v>-35849.885009999969</v>
      </c>
      <c r="H130" s="326">
        <f>G130/D130*100</f>
        <v>-9.6895247414766956</v>
      </c>
      <c r="I130" s="184"/>
      <c r="J130" s="293"/>
      <c r="K130" s="115"/>
      <c r="L130" s="137"/>
      <c r="M130" s="252"/>
      <c r="N130" s="252"/>
      <c r="O130" s="252"/>
      <c r="P130" s="293">
        <f>SUM(P131,P142,P145,P147)</f>
        <v>334136114.99000001</v>
      </c>
      <c r="Q130" s="175" t="s">
        <v>245</v>
      </c>
    </row>
    <row r="131" spans="1:17" ht="15.95" customHeight="1">
      <c r="A131" s="105"/>
      <c r="B131" s="242"/>
      <c r="C131" s="120" t="s">
        <v>220</v>
      </c>
      <c r="D131" s="276">
        <v>40800</v>
      </c>
      <c r="E131" s="277">
        <f>+P131/1000</f>
        <v>23750</v>
      </c>
      <c r="F131" s="150">
        <v>0</v>
      </c>
      <c r="G131" s="278">
        <f>+E131-D131</f>
        <v>-17050</v>
      </c>
      <c r="H131" s="279">
        <f>G131/D131*100</f>
        <v>-41.78921568627451</v>
      </c>
      <c r="I131" s="182"/>
      <c r="J131" s="259"/>
      <c r="K131" s="127"/>
      <c r="L131" s="222"/>
      <c r="M131" s="152" t="s">
        <v>253</v>
      </c>
      <c r="N131" s="152"/>
      <c r="O131" s="152"/>
      <c r="P131" s="259">
        <f>SUM(P132,P135,P139,P140)</f>
        <v>23750000</v>
      </c>
      <c r="Q131" s="129" t="s">
        <v>245</v>
      </c>
    </row>
    <row r="132" spans="1:17" ht="15.95" customHeight="1">
      <c r="A132" s="105"/>
      <c r="B132" s="179"/>
      <c r="C132" s="131"/>
      <c r="D132" s="281"/>
      <c r="E132" s="282"/>
      <c r="F132" s="155"/>
      <c r="G132" s="283"/>
      <c r="H132" s="284"/>
      <c r="I132" s="327" t="s">
        <v>420</v>
      </c>
      <c r="J132" s="293"/>
      <c r="K132" s="115"/>
      <c r="L132" s="137"/>
      <c r="M132" s="116"/>
      <c r="N132" s="116"/>
      <c r="O132" s="138"/>
      <c r="P132" s="293">
        <f>SUM(P133:P134)</f>
        <v>13550000</v>
      </c>
      <c r="Q132" s="220" t="s">
        <v>245</v>
      </c>
    </row>
    <row r="133" spans="1:17" ht="15.95" customHeight="1">
      <c r="A133" s="105"/>
      <c r="B133" s="179"/>
      <c r="C133" s="131"/>
      <c r="D133" s="281"/>
      <c r="E133" s="282"/>
      <c r="F133" s="155"/>
      <c r="G133" s="283"/>
      <c r="H133" s="284"/>
      <c r="I133" s="184" t="s">
        <v>506</v>
      </c>
      <c r="J133" s="293">
        <v>50000</v>
      </c>
      <c r="K133" s="115" t="s">
        <v>245</v>
      </c>
      <c r="L133" s="137" t="s">
        <v>251</v>
      </c>
      <c r="M133" s="116">
        <v>4</v>
      </c>
      <c r="N133" s="116" t="s">
        <v>255</v>
      </c>
      <c r="O133" s="138" t="s">
        <v>257</v>
      </c>
      <c r="P133" s="293">
        <f>SUM(J133*M133)</f>
        <v>200000</v>
      </c>
      <c r="Q133" s="17" t="s">
        <v>245</v>
      </c>
    </row>
    <row r="134" spans="1:17" ht="15.95" customHeight="1">
      <c r="A134" s="105"/>
      <c r="B134" s="179"/>
      <c r="C134" s="131"/>
      <c r="D134" s="281"/>
      <c r="E134" s="282"/>
      <c r="F134" s="155"/>
      <c r="G134" s="283"/>
      <c r="H134" s="284"/>
      <c r="I134" s="224" t="s">
        <v>13</v>
      </c>
      <c r="J134" s="293">
        <v>13350000</v>
      </c>
      <c r="K134" s="115" t="s">
        <v>245</v>
      </c>
      <c r="L134" s="137" t="s">
        <v>251</v>
      </c>
      <c r="M134" s="116">
        <v>1</v>
      </c>
      <c r="N134" s="116" t="s">
        <v>255</v>
      </c>
      <c r="O134" s="138" t="s">
        <v>257</v>
      </c>
      <c r="P134" s="293">
        <f>SUM(J134*M134)</f>
        <v>13350000</v>
      </c>
      <c r="Q134" s="17" t="s">
        <v>245</v>
      </c>
    </row>
    <row r="135" spans="1:17" ht="15.95" customHeight="1">
      <c r="A135" s="105"/>
      <c r="B135" s="179"/>
      <c r="C135" s="131"/>
      <c r="D135" s="281"/>
      <c r="E135" s="282"/>
      <c r="F135" s="155"/>
      <c r="G135" s="283"/>
      <c r="H135" s="284"/>
      <c r="I135" s="327" t="s">
        <v>511</v>
      </c>
      <c r="J135" s="293"/>
      <c r="K135" s="115"/>
      <c r="L135" s="137"/>
      <c r="M135" s="116"/>
      <c r="N135" s="116"/>
      <c r="O135" s="138"/>
      <c r="P135" s="293">
        <f>SUM(P136:P138)</f>
        <v>10100000</v>
      </c>
      <c r="Q135" s="220" t="s">
        <v>245</v>
      </c>
    </row>
    <row r="136" spans="1:17" ht="15.95" customHeight="1">
      <c r="A136" s="105"/>
      <c r="B136" s="179"/>
      <c r="C136" s="131"/>
      <c r="D136" s="281"/>
      <c r="E136" s="282"/>
      <c r="F136" s="155"/>
      <c r="G136" s="283"/>
      <c r="H136" s="284"/>
      <c r="I136" s="224" t="s">
        <v>507</v>
      </c>
      <c r="J136" s="293">
        <v>5000000</v>
      </c>
      <c r="K136" s="115" t="s">
        <v>245</v>
      </c>
      <c r="L136" s="137" t="s">
        <v>251</v>
      </c>
      <c r="M136" s="116">
        <v>2</v>
      </c>
      <c r="N136" s="116" t="s">
        <v>288</v>
      </c>
      <c r="O136" s="138" t="s">
        <v>257</v>
      </c>
      <c r="P136" s="293">
        <f>SUM(J136*M136)</f>
        <v>10000000</v>
      </c>
      <c r="Q136" s="17" t="s">
        <v>245</v>
      </c>
    </row>
    <row r="137" spans="1:17" ht="15.95" customHeight="1">
      <c r="A137" s="105"/>
      <c r="B137" s="179"/>
      <c r="C137" s="131"/>
      <c r="D137" s="281"/>
      <c r="E137" s="282"/>
      <c r="F137" s="155"/>
      <c r="G137" s="283"/>
      <c r="H137" s="284"/>
      <c r="I137" s="184" t="s">
        <v>424</v>
      </c>
      <c r="J137" s="293">
        <v>50000</v>
      </c>
      <c r="K137" s="115" t="s">
        <v>245</v>
      </c>
      <c r="L137" s="137" t="s">
        <v>251</v>
      </c>
      <c r="M137" s="116">
        <v>2</v>
      </c>
      <c r="N137" s="116" t="s">
        <v>255</v>
      </c>
      <c r="O137" s="138" t="s">
        <v>257</v>
      </c>
      <c r="P137" s="293">
        <f>SUM(J137*M137)</f>
        <v>100000</v>
      </c>
      <c r="Q137" s="17" t="s">
        <v>245</v>
      </c>
    </row>
    <row r="138" spans="1:17" ht="15.95" customHeight="1">
      <c r="A138" s="105"/>
      <c r="B138" s="179"/>
      <c r="C138" s="131"/>
      <c r="D138" s="281"/>
      <c r="E138" s="282"/>
      <c r="F138" s="155"/>
      <c r="G138" s="283"/>
      <c r="H138" s="284"/>
      <c r="I138" s="184" t="s">
        <v>231</v>
      </c>
      <c r="J138" s="293">
        <v>0</v>
      </c>
      <c r="K138" s="115" t="s">
        <v>245</v>
      </c>
      <c r="L138" s="137" t="s">
        <v>251</v>
      </c>
      <c r="M138" s="116">
        <v>1</v>
      </c>
      <c r="N138" s="116" t="s">
        <v>255</v>
      </c>
      <c r="O138" s="138" t="s">
        <v>257</v>
      </c>
      <c r="P138" s="293">
        <f>SUM(J138*M138)</f>
        <v>0</v>
      </c>
      <c r="Q138" s="17" t="s">
        <v>245</v>
      </c>
    </row>
    <row r="139" spans="1:17" ht="15.95" customHeight="1">
      <c r="A139" s="105"/>
      <c r="B139" s="179"/>
      <c r="C139" s="131"/>
      <c r="D139" s="281"/>
      <c r="E139" s="282"/>
      <c r="F139" s="155"/>
      <c r="G139" s="283"/>
      <c r="H139" s="284"/>
      <c r="I139" s="328" t="s">
        <v>520</v>
      </c>
      <c r="J139" s="293">
        <v>0</v>
      </c>
      <c r="K139" s="115" t="s">
        <v>245</v>
      </c>
      <c r="L139" s="137" t="s">
        <v>251</v>
      </c>
      <c r="M139" s="116">
        <v>0</v>
      </c>
      <c r="N139" s="116" t="s">
        <v>255</v>
      </c>
      <c r="O139" s="138" t="s">
        <v>257</v>
      </c>
      <c r="P139" s="293">
        <f>SUM(J139*M139)</f>
        <v>0</v>
      </c>
      <c r="Q139" s="17" t="s">
        <v>245</v>
      </c>
    </row>
    <row r="140" spans="1:17" ht="15.95" customHeight="1">
      <c r="A140" s="105"/>
      <c r="B140" s="329"/>
      <c r="C140" s="131"/>
      <c r="D140" s="281"/>
      <c r="E140" s="282"/>
      <c r="F140" s="155"/>
      <c r="G140" s="283"/>
      <c r="H140" s="284"/>
      <c r="I140" s="327" t="s">
        <v>425</v>
      </c>
      <c r="J140" s="293"/>
      <c r="K140" s="115"/>
      <c r="L140" s="137"/>
      <c r="M140" s="116"/>
      <c r="N140" s="116"/>
      <c r="O140" s="138"/>
      <c r="P140" s="293">
        <f>SUM(P141)</f>
        <v>100000</v>
      </c>
      <c r="Q140" s="220" t="s">
        <v>245</v>
      </c>
    </row>
    <row r="141" spans="1:17" ht="15.95" customHeight="1">
      <c r="A141" s="105"/>
      <c r="B141" s="329"/>
      <c r="C141" s="131"/>
      <c r="D141" s="281"/>
      <c r="E141" s="282"/>
      <c r="F141" s="155"/>
      <c r="G141" s="283"/>
      <c r="H141" s="284"/>
      <c r="I141" s="184" t="s">
        <v>432</v>
      </c>
      <c r="J141" s="293">
        <v>50000</v>
      </c>
      <c r="K141" s="115" t="s">
        <v>245</v>
      </c>
      <c r="L141" s="137" t="s">
        <v>251</v>
      </c>
      <c r="M141" s="116">
        <v>2</v>
      </c>
      <c r="N141" s="116" t="s">
        <v>255</v>
      </c>
      <c r="O141" s="138" t="s">
        <v>257</v>
      </c>
      <c r="P141" s="293">
        <f>SUM(J141*M141)</f>
        <v>100000</v>
      </c>
      <c r="Q141" s="17" t="s">
        <v>245</v>
      </c>
    </row>
    <row r="142" spans="1:17" ht="15.95" customHeight="1">
      <c r="A142" s="105"/>
      <c r="B142" s="119"/>
      <c r="C142" s="120" t="s">
        <v>148</v>
      </c>
      <c r="D142" s="276">
        <v>21567</v>
      </c>
      <c r="E142" s="277">
        <f>+P142/1000+1</f>
        <v>22279.215</v>
      </c>
      <c r="F142" s="150">
        <v>0</v>
      </c>
      <c r="G142" s="278">
        <f>+E142-D142</f>
        <v>712.21500000000015</v>
      </c>
      <c r="H142" s="313">
        <f>+G142/D142*100</f>
        <v>3.3023369036027268</v>
      </c>
      <c r="I142" s="182"/>
      <c r="J142" s="259"/>
      <c r="K142" s="127"/>
      <c r="L142" s="222"/>
      <c r="M142" s="152" t="s">
        <v>253</v>
      </c>
      <c r="N142" s="152"/>
      <c r="O142" s="152"/>
      <c r="P142" s="259">
        <f>SUM(P143:P144)</f>
        <v>22278215</v>
      </c>
      <c r="Q142" s="129" t="s">
        <v>245</v>
      </c>
    </row>
    <row r="143" spans="1:17" ht="15.95" customHeight="1">
      <c r="A143" s="105"/>
      <c r="B143" s="119"/>
      <c r="C143" s="131"/>
      <c r="D143" s="281"/>
      <c r="E143" s="282"/>
      <c r="F143" s="155"/>
      <c r="G143" s="283"/>
      <c r="H143" s="314"/>
      <c r="I143" s="184" t="s">
        <v>333</v>
      </c>
      <c r="J143" s="293">
        <v>100000</v>
      </c>
      <c r="K143" s="115" t="s">
        <v>245</v>
      </c>
      <c r="L143" s="137" t="s">
        <v>251</v>
      </c>
      <c r="M143" s="116">
        <v>1</v>
      </c>
      <c r="N143" s="116" t="s">
        <v>255</v>
      </c>
      <c r="O143" s="138" t="s">
        <v>257</v>
      </c>
      <c r="P143" s="293">
        <f>SUM(J143*M143)</f>
        <v>100000</v>
      </c>
      <c r="Q143" s="17" t="s">
        <v>245</v>
      </c>
    </row>
    <row r="144" spans="1:17" ht="15.95" customHeight="1">
      <c r="A144" s="105"/>
      <c r="B144" s="119"/>
      <c r="C144" s="142"/>
      <c r="D144" s="287"/>
      <c r="E144" s="288"/>
      <c r="F144" s="134"/>
      <c r="G144" s="289"/>
      <c r="H144" s="316"/>
      <c r="I144" s="184" t="s">
        <v>501</v>
      </c>
      <c r="J144" s="293">
        <v>22178215</v>
      </c>
      <c r="K144" s="115" t="s">
        <v>245</v>
      </c>
      <c r="L144" s="137" t="s">
        <v>251</v>
      </c>
      <c r="M144" s="116">
        <v>1</v>
      </c>
      <c r="N144" s="116" t="s">
        <v>255</v>
      </c>
      <c r="O144" s="138" t="s">
        <v>257</v>
      </c>
      <c r="P144" s="293">
        <f>SUM(J144*M144)</f>
        <v>22178215</v>
      </c>
      <c r="Q144" s="17" t="s">
        <v>245</v>
      </c>
    </row>
    <row r="145" spans="1:17" ht="15.95" customHeight="1">
      <c r="A145" s="105"/>
      <c r="B145" s="119"/>
      <c r="C145" s="226" t="s">
        <v>407</v>
      </c>
      <c r="D145" s="276">
        <v>1200</v>
      </c>
      <c r="E145" s="277">
        <f>+P145/1000</f>
        <v>1200</v>
      </c>
      <c r="F145" s="150">
        <v>0</v>
      </c>
      <c r="G145" s="278">
        <f>+E145-D145</f>
        <v>0</v>
      </c>
      <c r="H145" s="279">
        <f>+G145/D145*100</f>
        <v>0</v>
      </c>
      <c r="I145" s="182"/>
      <c r="J145" s="259"/>
      <c r="K145" s="127"/>
      <c r="L145" s="222"/>
      <c r="M145" s="152" t="s">
        <v>253</v>
      </c>
      <c r="N145" s="152"/>
      <c r="O145" s="152"/>
      <c r="P145" s="259">
        <f>SUM(P146:P146)</f>
        <v>1200000</v>
      </c>
      <c r="Q145" s="129" t="s">
        <v>245</v>
      </c>
    </row>
    <row r="146" spans="1:17" ht="15.95" customHeight="1">
      <c r="A146" s="105"/>
      <c r="B146" s="119"/>
      <c r="C146" s="131"/>
      <c r="D146" s="281"/>
      <c r="E146" s="282"/>
      <c r="F146" s="155"/>
      <c r="G146" s="283"/>
      <c r="H146" s="284"/>
      <c r="I146" s="184" t="s">
        <v>403</v>
      </c>
      <c r="J146" s="293">
        <v>1200000</v>
      </c>
      <c r="K146" s="115" t="s">
        <v>245</v>
      </c>
      <c r="L146" s="137" t="s">
        <v>251</v>
      </c>
      <c r="M146" s="116">
        <v>1</v>
      </c>
      <c r="N146" s="116" t="s">
        <v>255</v>
      </c>
      <c r="O146" s="138" t="s">
        <v>257</v>
      </c>
      <c r="P146" s="293">
        <f>SUM(J146*M146)</f>
        <v>1200000</v>
      </c>
      <c r="Q146" s="17" t="s">
        <v>245</v>
      </c>
    </row>
    <row r="147" spans="1:17" ht="15.95" customHeight="1">
      <c r="A147" s="105"/>
      <c r="B147" s="119"/>
      <c r="C147" s="330" t="s">
        <v>112</v>
      </c>
      <c r="D147" s="276">
        <v>306419</v>
      </c>
      <c r="E147" s="277">
        <f>(P147/1000)</f>
        <v>286907.89999000001</v>
      </c>
      <c r="F147" s="150">
        <v>83961</v>
      </c>
      <c r="G147" s="278">
        <f>E147-D147</f>
        <v>-19511.100009999995</v>
      </c>
      <c r="H147" s="279">
        <f>G147/D147*100</f>
        <v>-6.3674576348072387</v>
      </c>
      <c r="I147" s="227"/>
      <c r="J147" s="259"/>
      <c r="K147" s="127"/>
      <c r="L147" s="222"/>
      <c r="M147" s="152" t="s">
        <v>253</v>
      </c>
      <c r="N147" s="152"/>
      <c r="O147" s="152"/>
      <c r="P147" s="259">
        <f>SUM(P148:P151)</f>
        <v>286907899.99000001</v>
      </c>
      <c r="Q147" s="129" t="s">
        <v>245</v>
      </c>
    </row>
    <row r="148" spans="1:17" ht="15.95" customHeight="1">
      <c r="A148" s="105"/>
      <c r="B148" s="119"/>
      <c r="C148" s="331"/>
      <c r="D148" s="281"/>
      <c r="E148" s="282"/>
      <c r="F148" s="155"/>
      <c r="G148" s="283"/>
      <c r="H148" s="284"/>
      <c r="I148" s="202" t="s">
        <v>364</v>
      </c>
      <c r="J148" s="293">
        <v>75000000</v>
      </c>
      <c r="K148" s="115" t="s">
        <v>245</v>
      </c>
      <c r="L148" s="137" t="s">
        <v>251</v>
      </c>
      <c r="M148" s="116">
        <v>1</v>
      </c>
      <c r="N148" s="116" t="s">
        <v>255</v>
      </c>
      <c r="O148" s="138" t="s">
        <v>257</v>
      </c>
      <c r="P148" s="293">
        <f>SUM(J148*M148)</f>
        <v>75000000</v>
      </c>
      <c r="Q148" s="17" t="s">
        <v>245</v>
      </c>
    </row>
    <row r="149" spans="1:17" ht="15.95" customHeight="1">
      <c r="A149" s="105"/>
      <c r="B149" s="119"/>
      <c r="C149" s="331"/>
      <c r="D149" s="281"/>
      <c r="E149" s="282"/>
      <c r="F149" s="141"/>
      <c r="G149" s="283"/>
      <c r="H149" s="284"/>
      <c r="I149" s="332" t="s">
        <v>3</v>
      </c>
      <c r="J149" s="293">
        <v>15302633.33</v>
      </c>
      <c r="K149" s="115" t="s">
        <v>245</v>
      </c>
      <c r="L149" s="137" t="s">
        <v>251</v>
      </c>
      <c r="M149" s="116">
        <v>3</v>
      </c>
      <c r="N149" s="116" t="s">
        <v>255</v>
      </c>
      <c r="O149" s="138" t="s">
        <v>289</v>
      </c>
      <c r="P149" s="293">
        <f>J149*M149</f>
        <v>45907899.990000002</v>
      </c>
      <c r="Q149" s="17" t="s">
        <v>245</v>
      </c>
    </row>
    <row r="150" spans="1:17" ht="15.95" customHeight="1">
      <c r="A150" s="105"/>
      <c r="B150" s="119"/>
      <c r="C150" s="331"/>
      <c r="D150" s="281"/>
      <c r="E150" s="282"/>
      <c r="F150" s="141"/>
      <c r="G150" s="283"/>
      <c r="H150" s="284"/>
      <c r="I150" s="333" t="s">
        <v>18</v>
      </c>
      <c r="J150" s="293">
        <v>130000000</v>
      </c>
      <c r="K150" s="115" t="s">
        <v>245</v>
      </c>
      <c r="L150" s="137" t="s">
        <v>251</v>
      </c>
      <c r="M150" s="116">
        <v>1</v>
      </c>
      <c r="N150" s="116" t="s">
        <v>255</v>
      </c>
      <c r="O150" s="138" t="s">
        <v>289</v>
      </c>
      <c r="P150" s="293">
        <f>J150*M150</f>
        <v>130000000</v>
      </c>
      <c r="Q150" s="17" t="s">
        <v>245</v>
      </c>
    </row>
    <row r="151" spans="1:17" ht="15.95" customHeight="1">
      <c r="A151" s="105"/>
      <c r="B151" s="119"/>
      <c r="C151" s="334"/>
      <c r="D151" s="287"/>
      <c r="E151" s="288"/>
      <c r="F151" s="141"/>
      <c r="G151" s="289"/>
      <c r="H151" s="290"/>
      <c r="I151" s="335" t="s">
        <v>204</v>
      </c>
      <c r="J151" s="13">
        <v>36000000</v>
      </c>
      <c r="K151" s="14" t="s">
        <v>245</v>
      </c>
      <c r="L151" s="15" t="s">
        <v>251</v>
      </c>
      <c r="M151" s="16">
        <v>1</v>
      </c>
      <c r="N151" s="16" t="s">
        <v>255</v>
      </c>
      <c r="O151" s="178" t="s">
        <v>289</v>
      </c>
      <c r="P151" s="13">
        <f>J151*M151</f>
        <v>36000000</v>
      </c>
      <c r="Q151" s="175" t="s">
        <v>245</v>
      </c>
    </row>
    <row r="152" spans="1:17" ht="18.75" customHeight="1">
      <c r="A152" s="336"/>
      <c r="B152" s="337" t="s">
        <v>35</v>
      </c>
      <c r="C152" s="243" t="s">
        <v>258</v>
      </c>
      <c r="D152" s="244">
        <f>SUM(D153:D170)</f>
        <v>204440</v>
      </c>
      <c r="E152" s="244">
        <f>SUM(E153:E170)</f>
        <v>191523</v>
      </c>
      <c r="F152" s="338">
        <f>SUM(F153:F159)</f>
        <v>4163</v>
      </c>
      <c r="G152" s="246">
        <f>+E152-D152</f>
        <v>-12917</v>
      </c>
      <c r="H152" s="247">
        <f>+G152/D152*100</f>
        <v>-6.3182351790256313</v>
      </c>
      <c r="I152" s="304"/>
      <c r="J152" s="249"/>
      <c r="K152" s="250"/>
      <c r="L152" s="339"/>
      <c r="M152" s="251"/>
      <c r="N152" s="251"/>
      <c r="O152" s="340"/>
      <c r="P152" s="249">
        <f>SUM(P153,P162,P164,P169)</f>
        <v>191523000</v>
      </c>
      <c r="Q152" s="117" t="s">
        <v>245</v>
      </c>
    </row>
    <row r="153" spans="1:17" ht="15.95" customHeight="1">
      <c r="A153" s="105"/>
      <c r="B153" s="341" t="s">
        <v>136</v>
      </c>
      <c r="C153" s="226" t="s">
        <v>324</v>
      </c>
      <c r="D153" s="276">
        <v>21450</v>
      </c>
      <c r="E153" s="277">
        <f>+P153/1000</f>
        <v>9533</v>
      </c>
      <c r="F153" s="150">
        <v>4163</v>
      </c>
      <c r="G153" s="278">
        <f>+E153-D153</f>
        <v>-11917</v>
      </c>
      <c r="H153" s="313">
        <f>+G153/D153*100</f>
        <v>-55.557109557109555</v>
      </c>
      <c r="I153" s="125"/>
      <c r="J153" s="259"/>
      <c r="K153" s="127"/>
      <c r="L153" s="222"/>
      <c r="M153" s="152" t="s">
        <v>253</v>
      </c>
      <c r="N153" s="152"/>
      <c r="O153" s="152"/>
      <c r="P153" s="259">
        <f>SUM(P154,P160,P161)</f>
        <v>9533000</v>
      </c>
      <c r="Q153" s="129" t="s">
        <v>245</v>
      </c>
    </row>
    <row r="154" spans="1:17" ht="15.95" customHeight="1">
      <c r="A154" s="105"/>
      <c r="B154" s="106"/>
      <c r="C154" s="229"/>
      <c r="D154" s="281"/>
      <c r="E154" s="282"/>
      <c r="F154" s="155"/>
      <c r="G154" s="283"/>
      <c r="H154" s="314"/>
      <c r="I154" s="342" t="s">
        <v>157</v>
      </c>
      <c r="J154" s="343"/>
      <c r="K154" s="344"/>
      <c r="L154" s="345"/>
      <c r="M154" s="346"/>
      <c r="N154" s="346"/>
      <c r="O154" s="347"/>
      <c r="P154" s="293">
        <f>SUM(P155:P159)</f>
        <v>6500000</v>
      </c>
      <c r="Q154" s="17" t="s">
        <v>245</v>
      </c>
    </row>
    <row r="155" spans="1:17" ht="15.95" customHeight="1">
      <c r="A155" s="105"/>
      <c r="B155" s="119"/>
      <c r="C155" s="229"/>
      <c r="D155" s="281"/>
      <c r="E155" s="282"/>
      <c r="F155" s="155"/>
      <c r="G155" s="283"/>
      <c r="H155" s="314"/>
      <c r="I155" s="136" t="s">
        <v>409</v>
      </c>
      <c r="J155" s="293">
        <v>0</v>
      </c>
      <c r="K155" s="115" t="s">
        <v>245</v>
      </c>
      <c r="L155" s="137" t="s">
        <v>251</v>
      </c>
      <c r="M155" s="116">
        <v>1</v>
      </c>
      <c r="N155" s="116" t="s">
        <v>255</v>
      </c>
      <c r="O155" s="138" t="s">
        <v>257</v>
      </c>
      <c r="P155" s="293">
        <f t="shared" ref="P155:P160" si="6">SUM(J155*M155)</f>
        <v>0</v>
      </c>
      <c r="Q155" s="17" t="s">
        <v>245</v>
      </c>
    </row>
    <row r="156" spans="1:17" ht="15.95" customHeight="1">
      <c r="A156" s="105"/>
      <c r="B156" s="119"/>
      <c r="C156" s="229"/>
      <c r="D156" s="281"/>
      <c r="E156" s="282"/>
      <c r="F156" s="155"/>
      <c r="G156" s="283"/>
      <c r="H156" s="314"/>
      <c r="I156" s="136" t="s">
        <v>365</v>
      </c>
      <c r="J156" s="293">
        <v>15000</v>
      </c>
      <c r="K156" s="115" t="s">
        <v>245</v>
      </c>
      <c r="L156" s="137" t="s">
        <v>251</v>
      </c>
      <c r="M156" s="116">
        <v>20</v>
      </c>
      <c r="N156" s="116" t="s">
        <v>296</v>
      </c>
      <c r="O156" s="138" t="s">
        <v>257</v>
      </c>
      <c r="P156" s="293">
        <f t="shared" si="6"/>
        <v>300000</v>
      </c>
      <c r="Q156" s="17" t="s">
        <v>245</v>
      </c>
    </row>
    <row r="157" spans="1:17" ht="15.95" customHeight="1">
      <c r="A157" s="105"/>
      <c r="B157" s="119"/>
      <c r="C157" s="229"/>
      <c r="D157" s="281"/>
      <c r="E157" s="282"/>
      <c r="F157" s="155"/>
      <c r="G157" s="283"/>
      <c r="H157" s="314"/>
      <c r="I157" s="136" t="s">
        <v>342</v>
      </c>
      <c r="J157" s="293">
        <v>4100000</v>
      </c>
      <c r="K157" s="115" t="s">
        <v>245</v>
      </c>
      <c r="L157" s="137" t="s">
        <v>251</v>
      </c>
      <c r="M157" s="116">
        <v>1</v>
      </c>
      <c r="N157" s="116" t="s">
        <v>255</v>
      </c>
      <c r="O157" s="138" t="s">
        <v>257</v>
      </c>
      <c r="P157" s="293">
        <f t="shared" si="6"/>
        <v>4100000</v>
      </c>
      <c r="Q157" s="17" t="s">
        <v>245</v>
      </c>
    </row>
    <row r="158" spans="1:17" ht="15.95" customHeight="1">
      <c r="A158" s="292"/>
      <c r="B158" s="341"/>
      <c r="C158" s="229"/>
      <c r="D158" s="281"/>
      <c r="E158" s="282"/>
      <c r="F158" s="155"/>
      <c r="G158" s="283"/>
      <c r="H158" s="314"/>
      <c r="I158" s="225" t="s">
        <v>539</v>
      </c>
      <c r="J158" s="293">
        <v>0</v>
      </c>
      <c r="K158" s="115" t="s">
        <v>245</v>
      </c>
      <c r="L158" s="137" t="s">
        <v>251</v>
      </c>
      <c r="M158" s="116">
        <v>0</v>
      </c>
      <c r="N158" s="116" t="s">
        <v>255</v>
      </c>
      <c r="O158" s="138"/>
      <c r="P158" s="293">
        <f t="shared" si="6"/>
        <v>0</v>
      </c>
      <c r="Q158" s="17" t="s">
        <v>245</v>
      </c>
    </row>
    <row r="159" spans="1:17" ht="15.95" customHeight="1">
      <c r="A159" s="105"/>
      <c r="B159" s="119"/>
      <c r="C159" s="229"/>
      <c r="D159" s="281"/>
      <c r="E159" s="282"/>
      <c r="F159" s="155"/>
      <c r="G159" s="283"/>
      <c r="H159" s="314"/>
      <c r="I159" s="157" t="s">
        <v>357</v>
      </c>
      <c r="J159" s="293">
        <v>300000</v>
      </c>
      <c r="K159" s="115" t="s">
        <v>245</v>
      </c>
      <c r="L159" s="137" t="s">
        <v>251</v>
      </c>
      <c r="M159" s="116">
        <v>7</v>
      </c>
      <c r="N159" s="116" t="s">
        <v>255</v>
      </c>
      <c r="O159" s="116"/>
      <c r="P159" s="293">
        <f t="shared" si="6"/>
        <v>2100000</v>
      </c>
      <c r="Q159" s="17" t="s">
        <v>245</v>
      </c>
    </row>
    <row r="160" spans="1:17" ht="15.75" customHeight="1">
      <c r="A160" s="105"/>
      <c r="B160" s="119"/>
      <c r="C160" s="229"/>
      <c r="D160" s="281"/>
      <c r="E160" s="282"/>
      <c r="F160" s="134"/>
      <c r="G160" s="283"/>
      <c r="H160" s="314"/>
      <c r="I160" s="12" t="s">
        <v>173</v>
      </c>
      <c r="J160" s="293">
        <v>33000</v>
      </c>
      <c r="K160" s="115" t="s">
        <v>245</v>
      </c>
      <c r="L160" s="137" t="s">
        <v>251</v>
      </c>
      <c r="M160" s="116">
        <v>1</v>
      </c>
      <c r="N160" s="116" t="s">
        <v>255</v>
      </c>
      <c r="O160" s="116"/>
      <c r="P160" s="293">
        <f t="shared" si="6"/>
        <v>33000</v>
      </c>
      <c r="Q160" s="17" t="s">
        <v>245</v>
      </c>
    </row>
    <row r="161" spans="1:17" ht="15.75" customHeight="1">
      <c r="A161" s="348"/>
      <c r="B161" s="119"/>
      <c r="C161" s="294"/>
      <c r="D161" s="287"/>
      <c r="E161" s="288"/>
      <c r="F161" s="134"/>
      <c r="G161" s="289"/>
      <c r="H161" s="316"/>
      <c r="I161" s="12" t="s">
        <v>476</v>
      </c>
      <c r="J161" s="13">
        <v>200000</v>
      </c>
      <c r="K161" s="14" t="s">
        <v>245</v>
      </c>
      <c r="L161" s="15" t="s">
        <v>251</v>
      </c>
      <c r="M161" s="16">
        <v>15</v>
      </c>
      <c r="N161" s="16" t="s">
        <v>255</v>
      </c>
      <c r="O161" s="16"/>
      <c r="P161" s="13">
        <f>SUM(J161*M161)</f>
        <v>3000000</v>
      </c>
      <c r="Q161" s="17" t="s">
        <v>245</v>
      </c>
    </row>
    <row r="162" spans="1:17" ht="15.75" customHeight="1">
      <c r="A162" s="349"/>
      <c r="B162" s="119"/>
      <c r="C162" s="120" t="s">
        <v>41</v>
      </c>
      <c r="D162" s="276">
        <v>1000</v>
      </c>
      <c r="E162" s="277">
        <f>P162/1000</f>
        <v>0</v>
      </c>
      <c r="F162" s="134"/>
      <c r="G162" s="278">
        <f>E162-D162</f>
        <v>-1000</v>
      </c>
      <c r="H162" s="279">
        <f>G162/D162*100</f>
        <v>-100</v>
      </c>
      <c r="I162" s="203"/>
      <c r="J162" s="259"/>
      <c r="K162" s="127"/>
      <c r="L162" s="222"/>
      <c r="M162" s="128"/>
      <c r="N162" s="128"/>
      <c r="O162" s="128"/>
      <c r="P162" s="259">
        <f>SUM(P163:P163)</f>
        <v>0</v>
      </c>
      <c r="Q162" s="129" t="s">
        <v>245</v>
      </c>
    </row>
    <row r="163" spans="1:17" ht="15.75" customHeight="1">
      <c r="A163" s="349"/>
      <c r="B163" s="119"/>
      <c r="C163" s="131"/>
      <c r="D163" s="281"/>
      <c r="E163" s="282"/>
      <c r="F163" s="134"/>
      <c r="G163" s="283"/>
      <c r="H163" s="284"/>
      <c r="I163" s="157" t="s">
        <v>418</v>
      </c>
      <c r="J163" s="293">
        <v>0</v>
      </c>
      <c r="K163" s="115" t="s">
        <v>245</v>
      </c>
      <c r="L163" s="137" t="s">
        <v>281</v>
      </c>
      <c r="M163" s="116">
        <v>1</v>
      </c>
      <c r="N163" s="116" t="s">
        <v>255</v>
      </c>
      <c r="O163" s="138" t="s">
        <v>257</v>
      </c>
      <c r="P163" s="293">
        <f>SUM(J163*M163)</f>
        <v>0</v>
      </c>
      <c r="Q163" s="17" t="s">
        <v>245</v>
      </c>
    </row>
    <row r="164" spans="1:17" ht="15.95" customHeight="1">
      <c r="A164" s="350" t="s">
        <v>538</v>
      </c>
      <c r="B164" s="351" t="s">
        <v>35</v>
      </c>
      <c r="C164" s="352" t="s">
        <v>230</v>
      </c>
      <c r="D164" s="309">
        <v>31990</v>
      </c>
      <c r="E164" s="310">
        <f>P164/1000</f>
        <v>31990</v>
      </c>
      <c r="F164" s="167">
        <v>80151</v>
      </c>
      <c r="G164" s="311">
        <f>+E164-D164</f>
        <v>0</v>
      </c>
      <c r="H164" s="312">
        <f>+G164/D164*100</f>
        <v>0</v>
      </c>
      <c r="I164" s="125"/>
      <c r="J164" s="259"/>
      <c r="K164" s="127"/>
      <c r="L164" s="222"/>
      <c r="M164" s="152" t="s">
        <v>253</v>
      </c>
      <c r="N164" s="152"/>
      <c r="O164" s="152"/>
      <c r="P164" s="259">
        <f>SUM(P165:P168)</f>
        <v>31990000</v>
      </c>
      <c r="Q164" s="129" t="s">
        <v>245</v>
      </c>
    </row>
    <row r="165" spans="1:17" ht="15.95" customHeight="1">
      <c r="A165" s="105"/>
      <c r="B165" s="353" t="s">
        <v>136</v>
      </c>
      <c r="C165" s="352"/>
      <c r="D165" s="309"/>
      <c r="E165" s="310"/>
      <c r="F165" s="167"/>
      <c r="G165" s="311"/>
      <c r="H165" s="312"/>
      <c r="I165" s="354" t="s">
        <v>345</v>
      </c>
      <c r="J165" s="293">
        <v>500000</v>
      </c>
      <c r="K165" s="115" t="s">
        <v>245</v>
      </c>
      <c r="L165" s="137" t="s">
        <v>251</v>
      </c>
      <c r="M165" s="116">
        <v>1</v>
      </c>
      <c r="N165" s="116" t="s">
        <v>255</v>
      </c>
      <c r="O165" s="138" t="s">
        <v>257</v>
      </c>
      <c r="P165" s="293">
        <f>SUM(J165*M165)</f>
        <v>500000</v>
      </c>
      <c r="Q165" s="17" t="s">
        <v>245</v>
      </c>
    </row>
    <row r="166" spans="1:17" ht="15.95" customHeight="1">
      <c r="A166" s="105"/>
      <c r="B166" s="119"/>
      <c r="C166" s="352"/>
      <c r="D166" s="309"/>
      <c r="E166" s="310"/>
      <c r="F166" s="167"/>
      <c r="G166" s="311"/>
      <c r="H166" s="312"/>
      <c r="I166" s="202" t="s">
        <v>314</v>
      </c>
      <c r="J166" s="293">
        <v>880000</v>
      </c>
      <c r="K166" s="115" t="s">
        <v>245</v>
      </c>
      <c r="L166" s="137" t="s">
        <v>251</v>
      </c>
      <c r="M166" s="116">
        <v>1</v>
      </c>
      <c r="N166" s="116" t="s">
        <v>255</v>
      </c>
      <c r="O166" s="138" t="s">
        <v>257</v>
      </c>
      <c r="P166" s="293">
        <f>SUM(J166*M166)</f>
        <v>880000</v>
      </c>
      <c r="Q166" s="17" t="s">
        <v>245</v>
      </c>
    </row>
    <row r="167" spans="1:17" ht="15.95" customHeight="1">
      <c r="A167" s="105"/>
      <c r="B167" s="119"/>
      <c r="C167" s="352"/>
      <c r="D167" s="309"/>
      <c r="E167" s="310"/>
      <c r="F167" s="167"/>
      <c r="G167" s="311"/>
      <c r="H167" s="312"/>
      <c r="I167" s="202" t="s">
        <v>312</v>
      </c>
      <c r="J167" s="293">
        <v>8000000</v>
      </c>
      <c r="K167" s="115" t="s">
        <v>245</v>
      </c>
      <c r="L167" s="137" t="s">
        <v>251</v>
      </c>
      <c r="M167" s="116">
        <v>1</v>
      </c>
      <c r="N167" s="116" t="s">
        <v>255</v>
      </c>
      <c r="O167" s="138" t="s">
        <v>257</v>
      </c>
      <c r="P167" s="293">
        <f>SUM(J167*M167)</f>
        <v>8000000</v>
      </c>
      <c r="Q167" s="17" t="s">
        <v>245</v>
      </c>
    </row>
    <row r="168" spans="1:17" ht="15.95" customHeight="1">
      <c r="A168" s="105"/>
      <c r="B168" s="119"/>
      <c r="C168" s="352"/>
      <c r="D168" s="309"/>
      <c r="E168" s="310"/>
      <c r="F168" s="167"/>
      <c r="G168" s="311"/>
      <c r="H168" s="312"/>
      <c r="I168" s="355" t="s">
        <v>232</v>
      </c>
      <c r="J168" s="13">
        <v>22610000</v>
      </c>
      <c r="K168" s="14" t="s">
        <v>245</v>
      </c>
      <c r="L168" s="15" t="s">
        <v>251</v>
      </c>
      <c r="M168" s="16">
        <v>1</v>
      </c>
      <c r="N168" s="16" t="s">
        <v>255</v>
      </c>
      <c r="O168" s="178" t="s">
        <v>257</v>
      </c>
      <c r="P168" s="13">
        <f>SUM(J168*M168)</f>
        <v>22610000</v>
      </c>
      <c r="Q168" s="175" t="s">
        <v>245</v>
      </c>
    </row>
    <row r="169" spans="1:17" ht="15.95" customHeight="1">
      <c r="A169" s="292"/>
      <c r="B169" s="106"/>
      <c r="C169" s="352" t="s">
        <v>323</v>
      </c>
      <c r="D169" s="309">
        <v>150000</v>
      </c>
      <c r="E169" s="310">
        <f>+P169/1000</f>
        <v>150000</v>
      </c>
      <c r="F169" s="338"/>
      <c r="G169" s="311">
        <f>+E169-D169</f>
        <v>0</v>
      </c>
      <c r="H169" s="312">
        <f>+G169/D169*100</f>
        <v>0</v>
      </c>
      <c r="I169" s="158"/>
      <c r="J169" s="259"/>
      <c r="K169" s="127"/>
      <c r="L169" s="222"/>
      <c r="M169" s="152" t="s">
        <v>253</v>
      </c>
      <c r="N169" s="152"/>
      <c r="O169" s="152"/>
      <c r="P169" s="259">
        <f>SUM(P170:P170)</f>
        <v>150000000</v>
      </c>
      <c r="Q169" s="129" t="s">
        <v>245</v>
      </c>
    </row>
    <row r="170" spans="1:17" ht="18" customHeight="1">
      <c r="A170" s="348"/>
      <c r="B170" s="356"/>
      <c r="C170" s="352"/>
      <c r="D170" s="309"/>
      <c r="E170" s="310"/>
      <c r="F170" s="338">
        <v>83391</v>
      </c>
      <c r="G170" s="311"/>
      <c r="H170" s="312"/>
      <c r="I170" s="357" t="s">
        <v>323</v>
      </c>
      <c r="J170" s="25">
        <v>12500000</v>
      </c>
      <c r="K170" s="307" t="s">
        <v>245</v>
      </c>
      <c r="L170" s="27" t="s">
        <v>251</v>
      </c>
      <c r="M170" s="26">
        <v>12</v>
      </c>
      <c r="N170" s="26" t="s">
        <v>255</v>
      </c>
      <c r="O170" s="28" t="s">
        <v>257</v>
      </c>
      <c r="P170" s="25">
        <f>J170*M170</f>
        <v>150000000</v>
      </c>
      <c r="Q170" s="29" t="s">
        <v>245</v>
      </c>
    </row>
    <row r="171" spans="1:17" ht="20.100000000000001" customHeight="1">
      <c r="A171" s="292"/>
      <c r="B171" s="337" t="s">
        <v>269</v>
      </c>
      <c r="C171" s="358" t="s">
        <v>51</v>
      </c>
      <c r="D171" s="359">
        <f>SUM(D172:D201)</f>
        <v>23660</v>
      </c>
      <c r="E171" s="360">
        <f>SUM(E172:E201)</f>
        <v>13500</v>
      </c>
      <c r="F171" s="361">
        <f>SUM(F172:F201)</f>
        <v>19389</v>
      </c>
      <c r="G171" s="246">
        <f>+E171-D171</f>
        <v>-10160</v>
      </c>
      <c r="H171" s="247">
        <f>G171/D171*100</f>
        <v>-42.941673710904482</v>
      </c>
      <c r="I171" s="248"/>
      <c r="J171" s="249"/>
      <c r="K171" s="250"/>
      <c r="L171" s="250"/>
      <c r="M171" s="252"/>
      <c r="N171" s="252"/>
      <c r="O171" s="252"/>
      <c r="P171" s="305">
        <f>SUM(P172,P198)</f>
        <v>13500000</v>
      </c>
      <c r="Q171" s="117" t="s">
        <v>245</v>
      </c>
    </row>
    <row r="172" spans="1:17" ht="15.95" customHeight="1">
      <c r="A172" s="105"/>
      <c r="B172" s="341" t="s">
        <v>136</v>
      </c>
      <c r="C172" s="42" t="s">
        <v>319</v>
      </c>
      <c r="D172" s="254">
        <v>17000</v>
      </c>
      <c r="E172" s="255">
        <f>+P172/1000</f>
        <v>13500</v>
      </c>
      <c r="F172" s="256">
        <v>17389</v>
      </c>
      <c r="G172" s="278">
        <f>+E172-D172</f>
        <v>-3500</v>
      </c>
      <c r="H172" s="279">
        <f>+G172/D172*100</f>
        <v>-20.588235294117645</v>
      </c>
      <c r="I172" s="136"/>
      <c r="J172" s="293"/>
      <c r="K172" s="115"/>
      <c r="L172" s="137"/>
      <c r="M172" s="152" t="s">
        <v>258</v>
      </c>
      <c r="N172" s="152"/>
      <c r="O172" s="152"/>
      <c r="P172" s="293">
        <f>+P173+P176+P179+P181+P183+P186+P190+P193+P195</f>
        <v>13500000</v>
      </c>
      <c r="Q172" s="362" t="s">
        <v>245</v>
      </c>
    </row>
    <row r="173" spans="1:17" ht="15.95" customHeight="1">
      <c r="A173" s="105"/>
      <c r="B173" s="341"/>
      <c r="C173" s="43"/>
      <c r="D173" s="260"/>
      <c r="E173" s="261"/>
      <c r="F173" s="262"/>
      <c r="G173" s="283"/>
      <c r="H173" s="284"/>
      <c r="I173" s="363" t="s">
        <v>429</v>
      </c>
      <c r="J173" s="364"/>
      <c r="K173" s="365"/>
      <c r="L173" s="366"/>
      <c r="M173" s="367"/>
      <c r="N173" s="367"/>
      <c r="O173" s="368"/>
      <c r="P173" s="364">
        <f>SUM(P174:P175)</f>
        <v>1500000</v>
      </c>
      <c r="Q173" s="362" t="s">
        <v>245</v>
      </c>
    </row>
    <row r="174" spans="1:17" ht="15.95" customHeight="1">
      <c r="A174" s="105"/>
      <c r="B174" s="341"/>
      <c r="C174" s="43"/>
      <c r="D174" s="260"/>
      <c r="E174" s="261"/>
      <c r="F174" s="262"/>
      <c r="G174" s="283"/>
      <c r="H174" s="284"/>
      <c r="I174" s="146" t="s">
        <v>6</v>
      </c>
      <c r="J174" s="293">
        <v>0</v>
      </c>
      <c r="K174" s="115" t="s">
        <v>245</v>
      </c>
      <c r="L174" s="137" t="s">
        <v>251</v>
      </c>
      <c r="M174" s="116">
        <v>1</v>
      </c>
      <c r="N174" s="116" t="s">
        <v>255</v>
      </c>
      <c r="O174" s="138" t="s">
        <v>257</v>
      </c>
      <c r="P174" s="293">
        <f>SUM(J174*M174)</f>
        <v>0</v>
      </c>
      <c r="Q174" s="17" t="s">
        <v>245</v>
      </c>
    </row>
    <row r="175" spans="1:17" ht="15.95" customHeight="1">
      <c r="A175" s="105"/>
      <c r="B175" s="119"/>
      <c r="C175" s="43"/>
      <c r="D175" s="260"/>
      <c r="E175" s="261"/>
      <c r="F175" s="262"/>
      <c r="G175" s="283"/>
      <c r="H175" s="284"/>
      <c r="I175" s="354" t="s">
        <v>440</v>
      </c>
      <c r="J175" s="293">
        <v>150000</v>
      </c>
      <c r="K175" s="115" t="s">
        <v>245</v>
      </c>
      <c r="L175" s="137" t="s">
        <v>251</v>
      </c>
      <c r="M175" s="116">
        <v>10</v>
      </c>
      <c r="N175" s="116" t="s">
        <v>255</v>
      </c>
      <c r="O175" s="138" t="s">
        <v>257</v>
      </c>
      <c r="P175" s="293">
        <f>SUM(J175*M175)</f>
        <v>1500000</v>
      </c>
      <c r="Q175" s="17" t="s">
        <v>245</v>
      </c>
    </row>
    <row r="176" spans="1:17" ht="15.95" customHeight="1">
      <c r="A176" s="369"/>
      <c r="B176" s="370"/>
      <c r="C176" s="43"/>
      <c r="D176" s="260"/>
      <c r="E176" s="261"/>
      <c r="F176" s="262"/>
      <c r="G176" s="283"/>
      <c r="H176" s="284"/>
      <c r="I176" s="371" t="s">
        <v>383</v>
      </c>
      <c r="J176" s="343"/>
      <c r="K176" s="344"/>
      <c r="L176" s="345"/>
      <c r="M176" s="346"/>
      <c r="N176" s="346"/>
      <c r="O176" s="347"/>
      <c r="P176" s="343">
        <f>SUM(P177:P178)</f>
        <v>1500000</v>
      </c>
      <c r="Q176" s="17" t="s">
        <v>245</v>
      </c>
    </row>
    <row r="177" spans="1:17" ht="15.95" customHeight="1">
      <c r="A177" s="105"/>
      <c r="B177" s="372"/>
      <c r="C177" s="43"/>
      <c r="D177" s="260"/>
      <c r="E177" s="261"/>
      <c r="F177" s="262"/>
      <c r="G177" s="283"/>
      <c r="H177" s="284"/>
      <c r="I177" s="354" t="s">
        <v>447</v>
      </c>
      <c r="J177" s="293">
        <v>1000000</v>
      </c>
      <c r="K177" s="115" t="s">
        <v>245</v>
      </c>
      <c r="L177" s="137" t="s">
        <v>251</v>
      </c>
      <c r="M177" s="116">
        <v>1</v>
      </c>
      <c r="N177" s="116" t="s">
        <v>255</v>
      </c>
      <c r="O177" s="138" t="s">
        <v>257</v>
      </c>
      <c r="P177" s="293">
        <f>SUM(J177*M177)</f>
        <v>1000000</v>
      </c>
      <c r="Q177" s="17" t="s">
        <v>245</v>
      </c>
    </row>
    <row r="178" spans="1:17" ht="15.95" customHeight="1">
      <c r="A178" s="105"/>
      <c r="B178" s="372"/>
      <c r="C178" s="43"/>
      <c r="D178" s="260"/>
      <c r="E178" s="261"/>
      <c r="F178" s="262"/>
      <c r="G178" s="283"/>
      <c r="H178" s="284"/>
      <c r="I178" s="354" t="s">
        <v>478</v>
      </c>
      <c r="J178" s="293">
        <v>500000</v>
      </c>
      <c r="K178" s="115" t="s">
        <v>245</v>
      </c>
      <c r="L178" s="137" t="s">
        <v>251</v>
      </c>
      <c r="M178" s="116">
        <v>1</v>
      </c>
      <c r="N178" s="116" t="s">
        <v>255</v>
      </c>
      <c r="O178" s="138" t="s">
        <v>257</v>
      </c>
      <c r="P178" s="293">
        <f>SUM(J178*M178)</f>
        <v>500000</v>
      </c>
      <c r="Q178" s="17" t="s">
        <v>245</v>
      </c>
    </row>
    <row r="179" spans="1:17" ht="15.95" customHeight="1">
      <c r="A179" s="105"/>
      <c r="B179" s="372"/>
      <c r="C179" s="43"/>
      <c r="D179" s="260"/>
      <c r="E179" s="261"/>
      <c r="F179" s="262"/>
      <c r="G179" s="283"/>
      <c r="H179" s="284"/>
      <c r="I179" s="371" t="s">
        <v>385</v>
      </c>
      <c r="J179" s="343"/>
      <c r="K179" s="344"/>
      <c r="L179" s="345"/>
      <c r="M179" s="346"/>
      <c r="N179" s="346"/>
      <c r="O179" s="347"/>
      <c r="P179" s="343">
        <f>SUM(P180:P180)</f>
        <v>1500000</v>
      </c>
      <c r="Q179" s="17" t="s">
        <v>245</v>
      </c>
    </row>
    <row r="180" spans="1:17" ht="15.95" customHeight="1">
      <c r="A180" s="105"/>
      <c r="B180" s="119"/>
      <c r="C180" s="43"/>
      <c r="D180" s="260"/>
      <c r="E180" s="261"/>
      <c r="F180" s="262"/>
      <c r="G180" s="283"/>
      <c r="H180" s="284"/>
      <c r="I180" s="354" t="s">
        <v>449</v>
      </c>
      <c r="J180" s="293">
        <v>1500000</v>
      </c>
      <c r="K180" s="115" t="s">
        <v>245</v>
      </c>
      <c r="L180" s="137" t="s">
        <v>251</v>
      </c>
      <c r="M180" s="116">
        <v>1</v>
      </c>
      <c r="N180" s="116" t="s">
        <v>255</v>
      </c>
      <c r="O180" s="138" t="s">
        <v>257</v>
      </c>
      <c r="P180" s="293">
        <f>SUM(J180*M180)</f>
        <v>1500000</v>
      </c>
      <c r="Q180" s="17" t="s">
        <v>245</v>
      </c>
    </row>
    <row r="181" spans="1:17" ht="15.95" customHeight="1">
      <c r="A181" s="105"/>
      <c r="B181" s="119"/>
      <c r="C181" s="43"/>
      <c r="D181" s="260"/>
      <c r="E181" s="261"/>
      <c r="F181" s="262"/>
      <c r="G181" s="283"/>
      <c r="H181" s="284"/>
      <c r="I181" s="371" t="s">
        <v>387</v>
      </c>
      <c r="J181" s="343"/>
      <c r="K181" s="344"/>
      <c r="L181" s="345"/>
      <c r="M181" s="346"/>
      <c r="N181" s="346"/>
      <c r="O181" s="347"/>
      <c r="P181" s="343">
        <f>SUM(P182:P182)</f>
        <v>1500000</v>
      </c>
      <c r="Q181" s="17" t="s">
        <v>245</v>
      </c>
    </row>
    <row r="182" spans="1:17" ht="15.95" customHeight="1">
      <c r="A182" s="105"/>
      <c r="B182" s="119"/>
      <c r="C182" s="43"/>
      <c r="D182" s="260"/>
      <c r="E182" s="261"/>
      <c r="F182" s="262"/>
      <c r="G182" s="283"/>
      <c r="H182" s="284"/>
      <c r="I182" s="354" t="s">
        <v>453</v>
      </c>
      <c r="J182" s="293">
        <v>1500000</v>
      </c>
      <c r="K182" s="115" t="s">
        <v>245</v>
      </c>
      <c r="L182" s="137" t="s">
        <v>251</v>
      </c>
      <c r="M182" s="116">
        <v>1</v>
      </c>
      <c r="N182" s="116" t="s">
        <v>255</v>
      </c>
      <c r="O182" s="138" t="s">
        <v>257</v>
      </c>
      <c r="P182" s="293">
        <f>SUM(J182*M182)</f>
        <v>1500000</v>
      </c>
      <c r="Q182" s="17" t="s">
        <v>245</v>
      </c>
    </row>
    <row r="183" spans="1:17" ht="15.95" customHeight="1">
      <c r="A183" s="105"/>
      <c r="B183" s="119"/>
      <c r="C183" s="43"/>
      <c r="D183" s="260"/>
      <c r="E183" s="261"/>
      <c r="F183" s="262"/>
      <c r="G183" s="283"/>
      <c r="H183" s="284"/>
      <c r="I183" s="371" t="s">
        <v>337</v>
      </c>
      <c r="J183" s="343"/>
      <c r="K183" s="344"/>
      <c r="L183" s="345"/>
      <c r="M183" s="346"/>
      <c r="N183" s="346"/>
      <c r="O183" s="347"/>
      <c r="P183" s="343">
        <f>SUM(P184:P185)</f>
        <v>1500000</v>
      </c>
      <c r="Q183" s="23" t="s">
        <v>245</v>
      </c>
    </row>
    <row r="184" spans="1:17" ht="15.95" customHeight="1">
      <c r="A184" s="105"/>
      <c r="B184" s="119"/>
      <c r="C184" s="43"/>
      <c r="D184" s="260"/>
      <c r="E184" s="261"/>
      <c r="F184" s="262"/>
      <c r="G184" s="283"/>
      <c r="H184" s="284"/>
      <c r="I184" s="354" t="s">
        <v>374</v>
      </c>
      <c r="J184" s="293">
        <v>500000</v>
      </c>
      <c r="K184" s="115" t="s">
        <v>245</v>
      </c>
      <c r="L184" s="137" t="s">
        <v>251</v>
      </c>
      <c r="M184" s="116">
        <v>1</v>
      </c>
      <c r="N184" s="116" t="s">
        <v>255</v>
      </c>
      <c r="O184" s="138" t="s">
        <v>257</v>
      </c>
      <c r="P184" s="293">
        <f>SUM(J184*M184)</f>
        <v>500000</v>
      </c>
      <c r="Q184" s="17" t="s">
        <v>245</v>
      </c>
    </row>
    <row r="185" spans="1:17" ht="15.95" customHeight="1">
      <c r="A185" s="105"/>
      <c r="B185" s="119"/>
      <c r="C185" s="43"/>
      <c r="D185" s="260"/>
      <c r="E185" s="261"/>
      <c r="F185" s="262"/>
      <c r="G185" s="283"/>
      <c r="H185" s="284"/>
      <c r="I185" s="354" t="s">
        <v>384</v>
      </c>
      <c r="J185" s="293">
        <v>1000000</v>
      </c>
      <c r="K185" s="115" t="s">
        <v>245</v>
      </c>
      <c r="L185" s="137" t="s">
        <v>251</v>
      </c>
      <c r="M185" s="116">
        <v>1</v>
      </c>
      <c r="N185" s="116" t="s">
        <v>255</v>
      </c>
      <c r="O185" s="138" t="s">
        <v>257</v>
      </c>
      <c r="P185" s="293">
        <f>SUM(J185*M185)</f>
        <v>1000000</v>
      </c>
      <c r="Q185" s="17" t="s">
        <v>245</v>
      </c>
    </row>
    <row r="186" spans="1:17" ht="15.95" customHeight="1">
      <c r="A186" s="336"/>
      <c r="B186" s="341"/>
      <c r="C186" s="43"/>
      <c r="D186" s="260"/>
      <c r="E186" s="261"/>
      <c r="F186" s="262"/>
      <c r="G186" s="283"/>
      <c r="H186" s="284"/>
      <c r="I186" s="371" t="s">
        <v>408</v>
      </c>
      <c r="J186" s="343"/>
      <c r="K186" s="344"/>
      <c r="L186" s="345"/>
      <c r="M186" s="346"/>
      <c r="N186" s="346"/>
      <c r="O186" s="347"/>
      <c r="P186" s="343">
        <f>SUM(P187:P189)</f>
        <v>3000000</v>
      </c>
      <c r="Q186" s="17" t="s">
        <v>245</v>
      </c>
    </row>
    <row r="187" spans="1:17" ht="15.95" customHeight="1">
      <c r="A187" s="105"/>
      <c r="B187" s="341"/>
      <c r="C187" s="43"/>
      <c r="D187" s="260"/>
      <c r="E187" s="261"/>
      <c r="F187" s="262"/>
      <c r="G187" s="283"/>
      <c r="H187" s="284"/>
      <c r="I187" s="354" t="s">
        <v>449</v>
      </c>
      <c r="J187" s="293">
        <v>600000</v>
      </c>
      <c r="K187" s="115" t="s">
        <v>245</v>
      </c>
      <c r="L187" s="137" t="s">
        <v>251</v>
      </c>
      <c r="M187" s="116">
        <v>1</v>
      </c>
      <c r="N187" s="116" t="s">
        <v>255</v>
      </c>
      <c r="O187" s="138" t="s">
        <v>257</v>
      </c>
      <c r="P187" s="293">
        <f>SUM(J187*M187)</f>
        <v>600000</v>
      </c>
      <c r="Q187" s="17" t="s">
        <v>245</v>
      </c>
    </row>
    <row r="188" spans="1:17" ht="15.95" customHeight="1">
      <c r="A188" s="105"/>
      <c r="B188" s="341"/>
      <c r="C188" s="43"/>
      <c r="D188" s="260"/>
      <c r="E188" s="261"/>
      <c r="F188" s="262"/>
      <c r="G188" s="283"/>
      <c r="H188" s="284"/>
      <c r="I188" s="354" t="s">
        <v>384</v>
      </c>
      <c r="J188" s="293">
        <v>400000</v>
      </c>
      <c r="K188" s="115" t="s">
        <v>245</v>
      </c>
      <c r="L188" s="137" t="s">
        <v>251</v>
      </c>
      <c r="M188" s="116">
        <v>1</v>
      </c>
      <c r="N188" s="116" t="s">
        <v>255</v>
      </c>
      <c r="O188" s="138" t="s">
        <v>257</v>
      </c>
      <c r="P188" s="293">
        <f>SUM(J188*M188)</f>
        <v>400000</v>
      </c>
      <c r="Q188" s="17" t="s">
        <v>245</v>
      </c>
    </row>
    <row r="189" spans="1:17" ht="15.95" customHeight="1">
      <c r="A189" s="105"/>
      <c r="B189" s="341"/>
      <c r="C189" s="43"/>
      <c r="D189" s="260"/>
      <c r="E189" s="261"/>
      <c r="F189" s="262"/>
      <c r="G189" s="283"/>
      <c r="H189" s="284"/>
      <c r="I189" s="354" t="s">
        <v>372</v>
      </c>
      <c r="J189" s="293">
        <v>2000000</v>
      </c>
      <c r="K189" s="115" t="s">
        <v>245</v>
      </c>
      <c r="L189" s="137" t="s">
        <v>251</v>
      </c>
      <c r="M189" s="116">
        <v>1</v>
      </c>
      <c r="N189" s="116" t="s">
        <v>255</v>
      </c>
      <c r="O189" s="138" t="s">
        <v>257</v>
      </c>
      <c r="P189" s="293">
        <f>SUM(J189*M189)</f>
        <v>2000000</v>
      </c>
      <c r="Q189" s="17" t="s">
        <v>245</v>
      </c>
    </row>
    <row r="190" spans="1:17" ht="15.95" customHeight="1">
      <c r="A190" s="105"/>
      <c r="B190" s="373"/>
      <c r="C190" s="43"/>
      <c r="D190" s="260"/>
      <c r="E190" s="261"/>
      <c r="F190" s="262"/>
      <c r="G190" s="283"/>
      <c r="H190" s="284"/>
      <c r="I190" s="371" t="s">
        <v>497</v>
      </c>
      <c r="J190" s="343"/>
      <c r="K190" s="344"/>
      <c r="L190" s="345"/>
      <c r="M190" s="346"/>
      <c r="N190" s="346"/>
      <c r="O190" s="347"/>
      <c r="P190" s="343">
        <f>SUM(P191:P192)</f>
        <v>900000</v>
      </c>
      <c r="Q190" s="17" t="s">
        <v>245</v>
      </c>
    </row>
    <row r="191" spans="1:17" ht="15.95" customHeight="1">
      <c r="A191" s="105"/>
      <c r="B191" s="373"/>
      <c r="C191" s="43"/>
      <c r="D191" s="260"/>
      <c r="E191" s="261"/>
      <c r="F191" s="262"/>
      <c r="G191" s="283"/>
      <c r="H191" s="284"/>
      <c r="I191" s="354" t="s">
        <v>369</v>
      </c>
      <c r="J191" s="293">
        <v>900000</v>
      </c>
      <c r="K191" s="115" t="s">
        <v>245</v>
      </c>
      <c r="L191" s="137" t="s">
        <v>251</v>
      </c>
      <c r="M191" s="116">
        <v>1</v>
      </c>
      <c r="N191" s="116" t="s">
        <v>255</v>
      </c>
      <c r="O191" s="138" t="s">
        <v>257</v>
      </c>
      <c r="P191" s="293">
        <f>SUM(J191*M191)</f>
        <v>900000</v>
      </c>
      <c r="Q191" s="17" t="s">
        <v>245</v>
      </c>
    </row>
    <row r="192" spans="1:17" ht="15.95" customHeight="1">
      <c r="A192" s="105"/>
      <c r="B192" s="119"/>
      <c r="C192" s="43"/>
      <c r="D192" s="260"/>
      <c r="E192" s="261"/>
      <c r="F192" s="262"/>
      <c r="G192" s="283"/>
      <c r="H192" s="284"/>
      <c r="I192" s="354" t="s">
        <v>391</v>
      </c>
      <c r="J192" s="293">
        <v>0</v>
      </c>
      <c r="K192" s="115" t="s">
        <v>245</v>
      </c>
      <c r="L192" s="137" t="s">
        <v>251</v>
      </c>
      <c r="M192" s="116">
        <v>1</v>
      </c>
      <c r="N192" s="116" t="s">
        <v>255</v>
      </c>
      <c r="O192" s="138" t="s">
        <v>257</v>
      </c>
      <c r="P192" s="293">
        <f>SUM(J192*M192)</f>
        <v>0</v>
      </c>
      <c r="Q192" s="17" t="s">
        <v>245</v>
      </c>
    </row>
    <row r="193" spans="1:17" ht="15.95" customHeight="1">
      <c r="A193" s="105"/>
      <c r="B193" s="119"/>
      <c r="C193" s="43"/>
      <c r="D193" s="260"/>
      <c r="E193" s="261"/>
      <c r="F193" s="262"/>
      <c r="G193" s="283"/>
      <c r="H193" s="284"/>
      <c r="I193" s="374" t="s">
        <v>308</v>
      </c>
      <c r="J193" s="375"/>
      <c r="K193" s="344"/>
      <c r="L193" s="345"/>
      <c r="M193" s="346"/>
      <c r="N193" s="346"/>
      <c r="O193" s="347"/>
      <c r="P193" s="343">
        <f>+P194</f>
        <v>1500000</v>
      </c>
      <c r="Q193" s="17" t="s">
        <v>245</v>
      </c>
    </row>
    <row r="194" spans="1:17" ht="15.95" customHeight="1">
      <c r="A194" s="105"/>
      <c r="B194" s="119"/>
      <c r="C194" s="43"/>
      <c r="D194" s="260"/>
      <c r="E194" s="261"/>
      <c r="F194" s="262"/>
      <c r="G194" s="283"/>
      <c r="H194" s="284"/>
      <c r="I194" s="354" t="s">
        <v>322</v>
      </c>
      <c r="J194" s="293">
        <v>250000</v>
      </c>
      <c r="K194" s="115" t="s">
        <v>245</v>
      </c>
      <c r="L194" s="137" t="s">
        <v>251</v>
      </c>
      <c r="M194" s="116">
        <v>6</v>
      </c>
      <c r="N194" s="116" t="s">
        <v>295</v>
      </c>
      <c r="O194" s="138" t="s">
        <v>257</v>
      </c>
      <c r="P194" s="293">
        <f>SUM(J194*M194)</f>
        <v>1500000</v>
      </c>
      <c r="Q194" s="17" t="s">
        <v>245</v>
      </c>
    </row>
    <row r="195" spans="1:17" ht="15.95" customHeight="1">
      <c r="A195" s="105"/>
      <c r="B195" s="119"/>
      <c r="C195" s="43"/>
      <c r="D195" s="260"/>
      <c r="E195" s="261"/>
      <c r="F195" s="262"/>
      <c r="G195" s="283"/>
      <c r="H195" s="284"/>
      <c r="I195" s="371" t="s">
        <v>470</v>
      </c>
      <c r="J195" s="343"/>
      <c r="K195" s="344"/>
      <c r="L195" s="345"/>
      <c r="M195" s="346"/>
      <c r="N195" s="346"/>
      <c r="O195" s="347"/>
      <c r="P195" s="343">
        <f>SUM(P196:P197)</f>
        <v>600000</v>
      </c>
      <c r="Q195" s="17" t="s">
        <v>245</v>
      </c>
    </row>
    <row r="196" spans="1:17" ht="15.95" customHeight="1">
      <c r="A196" s="105"/>
      <c r="B196" s="119"/>
      <c r="C196" s="43"/>
      <c r="D196" s="260"/>
      <c r="E196" s="261"/>
      <c r="F196" s="262"/>
      <c r="G196" s="283"/>
      <c r="H196" s="284"/>
      <c r="I196" s="354" t="s">
        <v>306</v>
      </c>
      <c r="J196" s="293">
        <v>300000</v>
      </c>
      <c r="K196" s="115" t="s">
        <v>245</v>
      </c>
      <c r="L196" s="137" t="s">
        <v>251</v>
      </c>
      <c r="M196" s="116">
        <v>1</v>
      </c>
      <c r="N196" s="116" t="s">
        <v>255</v>
      </c>
      <c r="O196" s="138" t="s">
        <v>257</v>
      </c>
      <c r="P196" s="293">
        <f>SUM(J196*M196)</f>
        <v>300000</v>
      </c>
      <c r="Q196" s="17" t="s">
        <v>245</v>
      </c>
    </row>
    <row r="197" spans="1:17" ht="16.5" customHeight="1">
      <c r="A197" s="105"/>
      <c r="B197" s="119"/>
      <c r="C197" s="43"/>
      <c r="D197" s="260"/>
      <c r="E197" s="261"/>
      <c r="F197" s="262"/>
      <c r="G197" s="283"/>
      <c r="H197" s="284"/>
      <c r="I197" s="354" t="s">
        <v>326</v>
      </c>
      <c r="J197" s="293">
        <v>300000</v>
      </c>
      <c r="K197" s="115" t="s">
        <v>245</v>
      </c>
      <c r="L197" s="137" t="s">
        <v>251</v>
      </c>
      <c r="M197" s="116">
        <v>1</v>
      </c>
      <c r="N197" s="116" t="s">
        <v>255</v>
      </c>
      <c r="O197" s="138" t="s">
        <v>257</v>
      </c>
      <c r="P197" s="293">
        <f>SUM(J197*M197)</f>
        <v>300000</v>
      </c>
      <c r="Q197" s="17" t="s">
        <v>245</v>
      </c>
    </row>
    <row r="198" spans="1:17" ht="15.95" customHeight="1">
      <c r="A198" s="292" t="s">
        <v>538</v>
      </c>
      <c r="B198" s="341" t="s">
        <v>540</v>
      </c>
      <c r="C198" s="120" t="s">
        <v>229</v>
      </c>
      <c r="D198" s="276">
        <v>6660</v>
      </c>
      <c r="E198" s="277">
        <f>+P198/1000</f>
        <v>0</v>
      </c>
      <c r="F198" s="150">
        <v>2000</v>
      </c>
      <c r="G198" s="278">
        <f>+E198-D198</f>
        <v>-6660</v>
      </c>
      <c r="H198" s="279">
        <f>G198/D198*100</f>
        <v>-100</v>
      </c>
      <c r="I198" s="376"/>
      <c r="J198" s="259"/>
      <c r="K198" s="127"/>
      <c r="L198" s="222"/>
      <c r="M198" s="152" t="s">
        <v>253</v>
      </c>
      <c r="N198" s="152"/>
      <c r="O198" s="152"/>
      <c r="P198" s="259">
        <f>SUM(P199:P201)</f>
        <v>0</v>
      </c>
      <c r="Q198" s="129" t="s">
        <v>245</v>
      </c>
    </row>
    <row r="199" spans="1:17" ht="15.95" customHeight="1">
      <c r="A199" s="105"/>
      <c r="B199" s="341" t="s">
        <v>541</v>
      </c>
      <c r="C199" s="131"/>
      <c r="D199" s="281"/>
      <c r="E199" s="282"/>
      <c r="F199" s="155"/>
      <c r="G199" s="283"/>
      <c r="H199" s="284"/>
      <c r="I199" s="377" t="s">
        <v>29</v>
      </c>
      <c r="J199" s="293">
        <v>0</v>
      </c>
      <c r="K199" s="115" t="s">
        <v>245</v>
      </c>
      <c r="L199" s="137" t="s">
        <v>251</v>
      </c>
      <c r="M199" s="116">
        <v>1</v>
      </c>
      <c r="N199" s="116" t="s">
        <v>255</v>
      </c>
      <c r="O199" s="138" t="s">
        <v>257</v>
      </c>
      <c r="P199" s="293">
        <f>SUM(J199*M199)</f>
        <v>0</v>
      </c>
      <c r="Q199" s="17" t="s">
        <v>245</v>
      </c>
    </row>
    <row r="200" spans="1:17" ht="15.95" customHeight="1">
      <c r="A200" s="105"/>
      <c r="B200" s="341"/>
      <c r="C200" s="131"/>
      <c r="D200" s="281"/>
      <c r="E200" s="282"/>
      <c r="F200" s="161"/>
      <c r="G200" s="283"/>
      <c r="H200" s="284"/>
      <c r="I200" s="378" t="s">
        <v>414</v>
      </c>
      <c r="J200" s="293">
        <v>0</v>
      </c>
      <c r="K200" s="115" t="s">
        <v>245</v>
      </c>
      <c r="L200" s="137" t="s">
        <v>251</v>
      </c>
      <c r="M200" s="116">
        <v>1</v>
      </c>
      <c r="N200" s="116" t="s">
        <v>255</v>
      </c>
      <c r="O200" s="138" t="s">
        <v>257</v>
      </c>
      <c r="P200" s="293">
        <f>SUM(J200*M200)</f>
        <v>0</v>
      </c>
      <c r="Q200" s="17" t="s">
        <v>245</v>
      </c>
    </row>
    <row r="201" spans="1:17" ht="15.95" customHeight="1">
      <c r="A201" s="105"/>
      <c r="B201" s="341"/>
      <c r="C201" s="142"/>
      <c r="D201" s="287"/>
      <c r="E201" s="288"/>
      <c r="F201" s="141"/>
      <c r="G201" s="289"/>
      <c r="H201" s="290"/>
      <c r="I201" s="379" t="s">
        <v>5</v>
      </c>
      <c r="J201" s="13">
        <v>0</v>
      </c>
      <c r="K201" s="14" t="s">
        <v>245</v>
      </c>
      <c r="L201" s="15" t="s">
        <v>251</v>
      </c>
      <c r="M201" s="16">
        <v>1</v>
      </c>
      <c r="N201" s="16" t="s">
        <v>255</v>
      </c>
      <c r="O201" s="178" t="s">
        <v>257</v>
      </c>
      <c r="P201" s="13">
        <f>SUM(J201*M201)</f>
        <v>0</v>
      </c>
      <c r="Q201" s="175" t="s">
        <v>245</v>
      </c>
    </row>
    <row r="202" spans="1:17" ht="20.100000000000001" customHeight="1">
      <c r="A202" s="336"/>
      <c r="B202" s="189" t="s">
        <v>49</v>
      </c>
      <c r="C202" s="380" t="s">
        <v>258</v>
      </c>
      <c r="D202" s="381">
        <f>+D203+D209</f>
        <v>20370</v>
      </c>
      <c r="E202" s="382">
        <f>SUM(E203:E210)</f>
        <v>3572.9189999999999</v>
      </c>
      <c r="F202" s="123" t="e">
        <f>+#REF!+F203+#REF!+#REF!+F209</f>
        <v>#REF!</v>
      </c>
      <c r="G202" s="383">
        <f>+E202-D202</f>
        <v>-16797.080999999998</v>
      </c>
      <c r="H202" s="384">
        <f>+G202/D202*100</f>
        <v>-82.459896907216489</v>
      </c>
      <c r="I202" s="182"/>
      <c r="J202" s="126"/>
      <c r="K202" s="127"/>
      <c r="L202" s="222"/>
      <c r="M202" s="128"/>
      <c r="N202" s="128"/>
      <c r="O202" s="385"/>
      <c r="P202" s="126">
        <f>SUM(P203,P209)</f>
        <v>3572919</v>
      </c>
      <c r="Q202" s="129" t="s">
        <v>245</v>
      </c>
    </row>
    <row r="203" spans="1:17" ht="15.95" customHeight="1">
      <c r="A203" s="105"/>
      <c r="B203" s="119"/>
      <c r="C203" s="386" t="s">
        <v>81</v>
      </c>
      <c r="D203" s="276">
        <v>19860</v>
      </c>
      <c r="E203" s="277">
        <f>+P203/1000</f>
        <v>3572.9189999999999</v>
      </c>
      <c r="F203" s="150">
        <v>14521</v>
      </c>
      <c r="G203" s="278">
        <f>+E203-D203</f>
        <v>-16287.081</v>
      </c>
      <c r="H203" s="279">
        <f>+G203/D203*100</f>
        <v>-82.009471299093661</v>
      </c>
      <c r="I203" s="182"/>
      <c r="J203" s="259"/>
      <c r="K203" s="127"/>
      <c r="L203" s="222"/>
      <c r="M203" s="152" t="s">
        <v>253</v>
      </c>
      <c r="N203" s="152"/>
      <c r="O203" s="152"/>
      <c r="P203" s="259">
        <f>SUM(P204:P208)</f>
        <v>3572919</v>
      </c>
      <c r="Q203" s="129" t="s">
        <v>245</v>
      </c>
    </row>
    <row r="204" spans="1:17" ht="15.95" customHeight="1">
      <c r="A204" s="105"/>
      <c r="B204" s="119"/>
      <c r="C204" s="387"/>
      <c r="D204" s="281"/>
      <c r="E204" s="282"/>
      <c r="F204" s="155"/>
      <c r="G204" s="283">
        <f>+E204-D204</f>
        <v>0</v>
      </c>
      <c r="H204" s="284" t="e">
        <f>+G204/D204*100</f>
        <v>#DIV/0!</v>
      </c>
      <c r="I204" s="296" t="s">
        <v>234</v>
      </c>
      <c r="J204" s="19">
        <v>901459.5</v>
      </c>
      <c r="K204" s="18" t="s">
        <v>245</v>
      </c>
      <c r="L204" s="21" t="s">
        <v>251</v>
      </c>
      <c r="M204" s="20">
        <v>2</v>
      </c>
      <c r="N204" s="116" t="s">
        <v>544</v>
      </c>
      <c r="O204" s="138" t="s">
        <v>257</v>
      </c>
      <c r="P204" s="293">
        <f>SUM(J204*M204)</f>
        <v>1802919</v>
      </c>
      <c r="Q204" s="17" t="s">
        <v>245</v>
      </c>
    </row>
    <row r="205" spans="1:17" ht="15.95" customHeight="1">
      <c r="A205" s="105"/>
      <c r="B205" s="119"/>
      <c r="C205" s="387"/>
      <c r="D205" s="281"/>
      <c r="E205" s="282"/>
      <c r="F205" s="155"/>
      <c r="G205" s="283"/>
      <c r="H205" s="284"/>
      <c r="I205" s="296" t="s">
        <v>23</v>
      </c>
      <c r="J205" s="19">
        <v>1296000</v>
      </c>
      <c r="K205" s="18" t="s">
        <v>245</v>
      </c>
      <c r="L205" s="21" t="s">
        <v>251</v>
      </c>
      <c r="M205" s="20">
        <v>0</v>
      </c>
      <c r="N205" s="116" t="s">
        <v>238</v>
      </c>
      <c r="O205" s="116" t="s">
        <v>257</v>
      </c>
      <c r="P205" s="293">
        <f>SUM(J205*M205)</f>
        <v>0</v>
      </c>
      <c r="Q205" s="17" t="s">
        <v>245</v>
      </c>
    </row>
    <row r="206" spans="1:17" ht="15.95" customHeight="1">
      <c r="A206" s="105"/>
      <c r="B206" s="119"/>
      <c r="C206" s="387"/>
      <c r="D206" s="281"/>
      <c r="E206" s="282"/>
      <c r="F206" s="155"/>
      <c r="G206" s="283"/>
      <c r="H206" s="284"/>
      <c r="I206" s="296" t="s">
        <v>60</v>
      </c>
      <c r="J206" s="19">
        <v>1230000</v>
      </c>
      <c r="K206" s="18" t="s">
        <v>245</v>
      </c>
      <c r="L206" s="21" t="s">
        <v>251</v>
      </c>
      <c r="M206" s="20">
        <v>0</v>
      </c>
      <c r="N206" s="116" t="s">
        <v>238</v>
      </c>
      <c r="O206" s="138" t="s">
        <v>257</v>
      </c>
      <c r="P206" s="293">
        <f>SUM(J206*M206)</f>
        <v>0</v>
      </c>
      <c r="Q206" s="17" t="s">
        <v>245</v>
      </c>
    </row>
    <row r="207" spans="1:17" ht="15.95" customHeight="1">
      <c r="A207" s="105"/>
      <c r="B207" s="119"/>
      <c r="C207" s="387"/>
      <c r="D207" s="281"/>
      <c r="E207" s="282"/>
      <c r="F207" s="155"/>
      <c r="G207" s="283"/>
      <c r="H207" s="284"/>
      <c r="I207" s="296" t="s">
        <v>52</v>
      </c>
      <c r="J207" s="19">
        <v>4994000</v>
      </c>
      <c r="K207" s="18" t="s">
        <v>245</v>
      </c>
      <c r="L207" s="21" t="s">
        <v>251</v>
      </c>
      <c r="M207" s="20">
        <v>0</v>
      </c>
      <c r="N207" s="116" t="s">
        <v>255</v>
      </c>
      <c r="O207" s="138" t="s">
        <v>257</v>
      </c>
      <c r="P207" s="293">
        <f>SUM(J207*M207)</f>
        <v>0</v>
      </c>
      <c r="Q207" s="17" t="s">
        <v>245</v>
      </c>
    </row>
    <row r="208" spans="1:17" ht="15.95" customHeight="1">
      <c r="A208" s="105"/>
      <c r="B208" s="119"/>
      <c r="C208" s="387"/>
      <c r="D208" s="281"/>
      <c r="E208" s="282"/>
      <c r="F208" s="155"/>
      <c r="G208" s="283"/>
      <c r="H208" s="284"/>
      <c r="I208" s="296" t="s">
        <v>235</v>
      </c>
      <c r="J208" s="19">
        <v>1770000</v>
      </c>
      <c r="K208" s="18" t="s">
        <v>245</v>
      </c>
      <c r="L208" s="21" t="s">
        <v>251</v>
      </c>
      <c r="M208" s="20">
        <v>1</v>
      </c>
      <c r="N208" s="116" t="s">
        <v>238</v>
      </c>
      <c r="O208" s="138" t="s">
        <v>257</v>
      </c>
      <c r="P208" s="293">
        <f>SUM(J208*M208)</f>
        <v>1770000</v>
      </c>
      <c r="Q208" s="17" t="s">
        <v>245</v>
      </c>
    </row>
    <row r="209" spans="1:31" ht="15.95" customHeight="1">
      <c r="A209" s="105"/>
      <c r="B209" s="119"/>
      <c r="C209" s="388" t="s">
        <v>108</v>
      </c>
      <c r="D209" s="276">
        <v>510</v>
      </c>
      <c r="E209" s="277">
        <f>+P209/1000</f>
        <v>0</v>
      </c>
      <c r="F209" s="150">
        <v>346</v>
      </c>
      <c r="G209" s="278">
        <f>+E209-D209</f>
        <v>-510</v>
      </c>
      <c r="H209" s="279">
        <f>+G209/D209*100</f>
        <v>-100</v>
      </c>
      <c r="I209" s="182"/>
      <c r="J209" s="259"/>
      <c r="K209" s="127"/>
      <c r="L209" s="222"/>
      <c r="M209" s="152" t="s">
        <v>253</v>
      </c>
      <c r="N209" s="152"/>
      <c r="O209" s="152"/>
      <c r="P209" s="259">
        <f>SUM(P210:P210)</f>
        <v>0</v>
      </c>
      <c r="Q209" s="129" t="s">
        <v>245</v>
      </c>
    </row>
    <row r="210" spans="1:31" ht="19.5" customHeight="1">
      <c r="A210" s="105"/>
      <c r="B210" s="177"/>
      <c r="C210" s="389"/>
      <c r="D210" s="287"/>
      <c r="E210" s="288"/>
      <c r="F210" s="161"/>
      <c r="G210" s="289"/>
      <c r="H210" s="290"/>
      <c r="I210" s="186" t="s">
        <v>108</v>
      </c>
      <c r="J210" s="13">
        <v>510000</v>
      </c>
      <c r="K210" s="14" t="s">
        <v>245</v>
      </c>
      <c r="L210" s="15" t="s">
        <v>251</v>
      </c>
      <c r="M210" s="16">
        <v>0</v>
      </c>
      <c r="N210" s="16" t="s">
        <v>255</v>
      </c>
      <c r="O210" s="178" t="s">
        <v>257</v>
      </c>
      <c r="P210" s="13">
        <f>SUM(J210*M210)</f>
        <v>0</v>
      </c>
      <c r="Q210" s="175" t="s">
        <v>245</v>
      </c>
    </row>
    <row r="211" spans="1:31" ht="20.100000000000001" customHeight="1">
      <c r="A211" s="336"/>
      <c r="B211" s="189" t="s">
        <v>203</v>
      </c>
      <c r="C211" s="380" t="s">
        <v>258</v>
      </c>
      <c r="D211" s="381">
        <f>SUM(D212:D212:D217)</f>
        <v>27900</v>
      </c>
      <c r="E211" s="382">
        <f>SUM(E212:E215)</f>
        <v>2537.5</v>
      </c>
      <c r="F211" s="123">
        <f>SUM(F212:F226)</f>
        <v>16820</v>
      </c>
      <c r="G211" s="383">
        <f>+E211-D211</f>
        <v>-25362.5</v>
      </c>
      <c r="H211" s="384">
        <f>+G211/D211*100</f>
        <v>-90.905017921146964</v>
      </c>
      <c r="I211" s="304"/>
      <c r="J211" s="249"/>
      <c r="K211" s="250"/>
      <c r="L211" s="339"/>
      <c r="M211" s="251"/>
      <c r="N211" s="251"/>
      <c r="O211" s="340"/>
      <c r="P211" s="249">
        <f>SUM(P212,P215)</f>
        <v>2537500</v>
      </c>
      <c r="Q211" s="117" t="s">
        <v>245</v>
      </c>
    </row>
    <row r="212" spans="1:31" ht="15.95" customHeight="1">
      <c r="A212" s="105"/>
      <c r="B212" s="119"/>
      <c r="C212" s="388" t="s">
        <v>225</v>
      </c>
      <c r="D212" s="276">
        <v>25000</v>
      </c>
      <c r="E212" s="277">
        <f>P212/1000</f>
        <v>0</v>
      </c>
      <c r="F212" s="150">
        <v>300</v>
      </c>
      <c r="G212" s="278">
        <f>+E212-D212</f>
        <v>-25000</v>
      </c>
      <c r="H212" s="279">
        <f>+G212/D212*100</f>
        <v>-100</v>
      </c>
      <c r="I212" s="182"/>
      <c r="J212" s="126"/>
      <c r="K212" s="127"/>
      <c r="L212" s="222"/>
      <c r="M212" s="152" t="s">
        <v>253</v>
      </c>
      <c r="N212" s="152"/>
      <c r="O212" s="152"/>
      <c r="P212" s="126">
        <f>SUM(P213:P214)</f>
        <v>0</v>
      </c>
      <c r="Q212" s="129" t="s">
        <v>245</v>
      </c>
    </row>
    <row r="213" spans="1:31" ht="15.95" customHeight="1">
      <c r="A213" s="105"/>
      <c r="B213" s="119"/>
      <c r="C213" s="387"/>
      <c r="D213" s="281"/>
      <c r="E213" s="282"/>
      <c r="F213" s="155"/>
      <c r="G213" s="283">
        <f>+E213-D213</f>
        <v>0</v>
      </c>
      <c r="H213" s="284" t="e">
        <f>+G213/D213*100</f>
        <v>#DIV/0!</v>
      </c>
      <c r="I213" s="184" t="s">
        <v>233</v>
      </c>
      <c r="J213" s="19">
        <v>0</v>
      </c>
      <c r="K213" s="115" t="s">
        <v>245</v>
      </c>
      <c r="L213" s="137" t="s">
        <v>251</v>
      </c>
      <c r="M213" s="116">
        <v>1</v>
      </c>
      <c r="N213" s="116" t="s">
        <v>238</v>
      </c>
      <c r="O213" s="138" t="s">
        <v>257</v>
      </c>
      <c r="P213" s="293">
        <f>SUM(J213*M213)</f>
        <v>0</v>
      </c>
      <c r="Q213" s="17" t="s">
        <v>245</v>
      </c>
    </row>
    <row r="214" spans="1:31" ht="15.95" customHeight="1">
      <c r="A214" s="105"/>
      <c r="B214" s="119"/>
      <c r="C214" s="387"/>
      <c r="D214" s="281"/>
      <c r="E214" s="282"/>
      <c r="F214" s="155"/>
      <c r="G214" s="283"/>
      <c r="H214" s="284"/>
      <c r="I214" s="184" t="s">
        <v>237</v>
      </c>
      <c r="J214" s="19">
        <v>0</v>
      </c>
      <c r="K214" s="115" t="s">
        <v>245</v>
      </c>
      <c r="L214" s="137" t="s">
        <v>251</v>
      </c>
      <c r="M214" s="116">
        <v>1</v>
      </c>
      <c r="N214" s="116" t="s">
        <v>238</v>
      </c>
      <c r="O214" s="138" t="s">
        <v>257</v>
      </c>
      <c r="P214" s="293">
        <f>SUM(J214*M214)</f>
        <v>0</v>
      </c>
      <c r="Q214" s="17" t="s">
        <v>245</v>
      </c>
    </row>
    <row r="215" spans="1:31" ht="15.95" customHeight="1">
      <c r="A215" s="105"/>
      <c r="B215" s="119"/>
      <c r="C215" s="42" t="s">
        <v>431</v>
      </c>
      <c r="D215" s="276">
        <v>2900</v>
      </c>
      <c r="E215" s="277">
        <f>+P215/1000</f>
        <v>2537.5</v>
      </c>
      <c r="F215" s="150">
        <v>2900</v>
      </c>
      <c r="G215" s="278">
        <f>+E215-D215</f>
        <v>-362.5</v>
      </c>
      <c r="H215" s="279">
        <f>+G215/D215*100</f>
        <v>-12.5</v>
      </c>
      <c r="I215" s="182"/>
      <c r="J215" s="259"/>
      <c r="K215" s="127"/>
      <c r="L215" s="222"/>
      <c r="M215" s="152" t="s">
        <v>253</v>
      </c>
      <c r="N215" s="152"/>
      <c r="O215" s="152"/>
      <c r="P215" s="259">
        <f>SUM(P216:P217)</f>
        <v>2537500</v>
      </c>
      <c r="Q215" s="129" t="s">
        <v>245</v>
      </c>
    </row>
    <row r="216" spans="1:31" ht="15.95" customHeight="1">
      <c r="A216" s="105"/>
      <c r="B216" s="119"/>
      <c r="C216" s="43"/>
      <c r="D216" s="281"/>
      <c r="E216" s="282"/>
      <c r="F216" s="155"/>
      <c r="G216" s="283">
        <f>+E216-D216</f>
        <v>0</v>
      </c>
      <c r="H216" s="284" t="e">
        <f>+G216/D216*100</f>
        <v>#DIV/0!</v>
      </c>
      <c r="I216" s="184" t="s">
        <v>33</v>
      </c>
      <c r="J216" s="293">
        <v>1300000</v>
      </c>
      <c r="K216" s="115" t="s">
        <v>245</v>
      </c>
      <c r="L216" s="137" t="s">
        <v>251</v>
      </c>
      <c r="M216" s="116">
        <v>1</v>
      </c>
      <c r="N216" s="116" t="s">
        <v>255</v>
      </c>
      <c r="O216" s="138" t="s">
        <v>257</v>
      </c>
      <c r="P216" s="293">
        <f>SUM(J216*M216)</f>
        <v>1300000</v>
      </c>
      <c r="Q216" s="17" t="s">
        <v>245</v>
      </c>
    </row>
    <row r="217" spans="1:31" ht="15.95" customHeight="1">
      <c r="A217" s="105"/>
      <c r="B217" s="177"/>
      <c r="C217" s="390"/>
      <c r="D217" s="287"/>
      <c r="E217" s="288"/>
      <c r="F217" s="161"/>
      <c r="G217" s="289">
        <f>+E217-D217</f>
        <v>0</v>
      </c>
      <c r="H217" s="290" t="e">
        <f>+G217/D217*100</f>
        <v>#DIV/0!</v>
      </c>
      <c r="I217" s="186" t="s">
        <v>502</v>
      </c>
      <c r="J217" s="13">
        <v>1237500</v>
      </c>
      <c r="K217" s="14" t="s">
        <v>245</v>
      </c>
      <c r="L217" s="15" t="s">
        <v>251</v>
      </c>
      <c r="M217" s="16">
        <v>1</v>
      </c>
      <c r="N217" s="16" t="s">
        <v>255</v>
      </c>
      <c r="O217" s="178" t="s">
        <v>257</v>
      </c>
      <c r="P217" s="13">
        <f>SUM(J217*M217)</f>
        <v>1237500</v>
      </c>
      <c r="Q217" s="175" t="s">
        <v>245</v>
      </c>
    </row>
    <row r="218" spans="1:31" ht="20.100000000000001" customHeight="1">
      <c r="A218" s="391"/>
      <c r="B218" s="322" t="s">
        <v>183</v>
      </c>
      <c r="C218" s="392" t="s">
        <v>258</v>
      </c>
      <c r="D218" s="324">
        <f>SUM(D219:D226)</f>
        <v>20350</v>
      </c>
      <c r="E218" s="325">
        <f>P218/1000</f>
        <v>8912.75</v>
      </c>
      <c r="F218" s="134"/>
      <c r="G218" s="325">
        <f>E218-D218</f>
        <v>-11437.25</v>
      </c>
      <c r="H218" s="393">
        <f>G218/D218*100</f>
        <v>-56.202702702702702</v>
      </c>
      <c r="I218" s="184"/>
      <c r="J218" s="293"/>
      <c r="K218" s="115"/>
      <c r="L218" s="137"/>
      <c r="M218" s="116"/>
      <c r="N218" s="116"/>
      <c r="O218" s="138"/>
      <c r="P218" s="293">
        <f>P219</f>
        <v>8912750</v>
      </c>
      <c r="Q218" s="17" t="s">
        <v>245</v>
      </c>
    </row>
    <row r="219" spans="1:31" ht="15.95" customHeight="1">
      <c r="A219" s="348"/>
      <c r="B219" s="242"/>
      <c r="C219" s="330" t="s">
        <v>85</v>
      </c>
      <c r="D219" s="276">
        <v>20350</v>
      </c>
      <c r="E219" s="277">
        <f>+P219/1000</f>
        <v>8912.75</v>
      </c>
      <c r="F219" s="150">
        <v>13620</v>
      </c>
      <c r="G219" s="278">
        <f>+E219-D219</f>
        <v>-11437.25</v>
      </c>
      <c r="H219" s="279">
        <f>+G219/D219*100</f>
        <v>-56.202702702702702</v>
      </c>
      <c r="I219" s="182"/>
      <c r="J219" s="259"/>
      <c r="K219" s="127"/>
      <c r="L219" s="222"/>
      <c r="M219" s="152" t="s">
        <v>253</v>
      </c>
      <c r="N219" s="152"/>
      <c r="O219" s="152"/>
      <c r="P219" s="259">
        <f>SUM(P220:P226)</f>
        <v>8912750</v>
      </c>
      <c r="Q219" s="129" t="s">
        <v>245</v>
      </c>
    </row>
    <row r="220" spans="1:31" ht="15.95" customHeight="1">
      <c r="A220" s="348"/>
      <c r="B220" s="119"/>
      <c r="C220" s="331"/>
      <c r="D220" s="281"/>
      <c r="E220" s="282"/>
      <c r="F220" s="155"/>
      <c r="G220" s="283"/>
      <c r="H220" s="284"/>
      <c r="I220" s="394" t="s">
        <v>172</v>
      </c>
      <c r="J220" s="266">
        <v>3412750</v>
      </c>
      <c r="K220" s="52" t="s">
        <v>245</v>
      </c>
      <c r="L220" s="267" t="s">
        <v>251</v>
      </c>
      <c r="M220" s="53">
        <v>1</v>
      </c>
      <c r="N220" s="53" t="s">
        <v>255</v>
      </c>
      <c r="O220" s="268" t="s">
        <v>257</v>
      </c>
      <c r="P220" s="266">
        <f t="shared" ref="P220:P226" si="7">SUM(J220*M220)</f>
        <v>3412750</v>
      </c>
      <c r="Q220" s="17" t="s">
        <v>245</v>
      </c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1">
        <v>7287250</v>
      </c>
      <c r="AE220" s="51" t="s">
        <v>530</v>
      </c>
    </row>
    <row r="221" spans="1:31" ht="15.95" customHeight="1">
      <c r="A221" s="348"/>
      <c r="B221" s="119"/>
      <c r="C221" s="331"/>
      <c r="D221" s="281"/>
      <c r="E221" s="282"/>
      <c r="F221" s="155"/>
      <c r="G221" s="283"/>
      <c r="H221" s="284"/>
      <c r="I221" s="285" t="s">
        <v>481</v>
      </c>
      <c r="J221" s="266">
        <v>5500000</v>
      </c>
      <c r="K221" s="52" t="s">
        <v>245</v>
      </c>
      <c r="L221" s="267" t="s">
        <v>251</v>
      </c>
      <c r="M221" s="53">
        <v>1</v>
      </c>
      <c r="N221" s="53" t="s">
        <v>255</v>
      </c>
      <c r="O221" s="268" t="s">
        <v>257</v>
      </c>
      <c r="P221" s="266">
        <f t="shared" si="7"/>
        <v>5500000</v>
      </c>
      <c r="Q221" s="17" t="s">
        <v>245</v>
      </c>
    </row>
    <row r="222" spans="1:31" ht="15.95" customHeight="1">
      <c r="A222" s="348"/>
      <c r="B222" s="119"/>
      <c r="C222" s="331"/>
      <c r="D222" s="281"/>
      <c r="E222" s="282"/>
      <c r="F222" s="155"/>
      <c r="G222" s="283"/>
      <c r="H222" s="284"/>
      <c r="I222" s="285" t="s">
        <v>330</v>
      </c>
      <c r="J222" s="266">
        <v>0</v>
      </c>
      <c r="K222" s="52" t="s">
        <v>245</v>
      </c>
      <c r="L222" s="267" t="s">
        <v>251</v>
      </c>
      <c r="M222" s="53">
        <v>0</v>
      </c>
      <c r="N222" s="53" t="s">
        <v>255</v>
      </c>
      <c r="O222" s="268" t="s">
        <v>257</v>
      </c>
      <c r="P222" s="266">
        <f t="shared" si="7"/>
        <v>0</v>
      </c>
      <c r="Q222" s="17" t="s">
        <v>245</v>
      </c>
    </row>
    <row r="223" spans="1:31" ht="15.95" customHeight="1">
      <c r="A223" s="348"/>
      <c r="B223" s="119"/>
      <c r="C223" s="331"/>
      <c r="D223" s="281"/>
      <c r="E223" s="282"/>
      <c r="F223" s="134"/>
      <c r="G223" s="283"/>
      <c r="H223" s="284"/>
      <c r="I223" s="157" t="s">
        <v>25</v>
      </c>
      <c r="J223" s="266">
        <v>0</v>
      </c>
      <c r="K223" s="52" t="s">
        <v>245</v>
      </c>
      <c r="L223" s="267" t="s">
        <v>251</v>
      </c>
      <c r="M223" s="53">
        <v>1</v>
      </c>
      <c r="N223" s="53" t="s">
        <v>255</v>
      </c>
      <c r="O223" s="268" t="s">
        <v>257</v>
      </c>
      <c r="P223" s="266">
        <f t="shared" si="7"/>
        <v>0</v>
      </c>
      <c r="Q223" s="17" t="s">
        <v>245</v>
      </c>
    </row>
    <row r="224" spans="1:31" ht="15.95" customHeight="1">
      <c r="A224" s="348"/>
      <c r="B224" s="119"/>
      <c r="C224" s="331"/>
      <c r="D224" s="281"/>
      <c r="E224" s="282"/>
      <c r="F224" s="134"/>
      <c r="G224" s="283"/>
      <c r="H224" s="284"/>
      <c r="I224" s="157" t="s">
        <v>434</v>
      </c>
      <c r="J224" s="266">
        <v>0</v>
      </c>
      <c r="K224" s="52" t="s">
        <v>245</v>
      </c>
      <c r="L224" s="267" t="s">
        <v>251</v>
      </c>
      <c r="M224" s="53">
        <v>0</v>
      </c>
      <c r="N224" s="53" t="s">
        <v>255</v>
      </c>
      <c r="O224" s="268" t="s">
        <v>257</v>
      </c>
      <c r="P224" s="266">
        <f t="shared" si="7"/>
        <v>0</v>
      </c>
      <c r="Q224" s="17" t="s">
        <v>245</v>
      </c>
    </row>
    <row r="225" spans="1:17" ht="15.95" customHeight="1">
      <c r="A225" s="348"/>
      <c r="B225" s="119"/>
      <c r="C225" s="331"/>
      <c r="D225" s="281"/>
      <c r="E225" s="282"/>
      <c r="F225" s="134"/>
      <c r="G225" s="283"/>
      <c r="H225" s="284"/>
      <c r="I225" s="157" t="s">
        <v>426</v>
      </c>
      <c r="J225" s="266">
        <v>0</v>
      </c>
      <c r="K225" s="52" t="s">
        <v>245</v>
      </c>
      <c r="L225" s="267" t="s">
        <v>251</v>
      </c>
      <c r="M225" s="53">
        <v>0</v>
      </c>
      <c r="N225" s="53" t="s">
        <v>255</v>
      </c>
      <c r="O225" s="268" t="s">
        <v>257</v>
      </c>
      <c r="P225" s="266">
        <f t="shared" si="7"/>
        <v>0</v>
      </c>
      <c r="Q225" s="17" t="s">
        <v>245</v>
      </c>
    </row>
    <row r="226" spans="1:17" ht="15.95" customHeight="1">
      <c r="A226" s="348"/>
      <c r="B226" s="119"/>
      <c r="C226" s="334"/>
      <c r="D226" s="287"/>
      <c r="E226" s="288"/>
      <c r="F226" s="141"/>
      <c r="G226" s="289"/>
      <c r="H226" s="290"/>
      <c r="I226" s="172" t="s">
        <v>433</v>
      </c>
      <c r="J226" s="13">
        <v>0</v>
      </c>
      <c r="K226" s="14" t="s">
        <v>245</v>
      </c>
      <c r="L226" s="15" t="s">
        <v>251</v>
      </c>
      <c r="M226" s="16">
        <v>1</v>
      </c>
      <c r="N226" s="16" t="s">
        <v>255</v>
      </c>
      <c r="O226" s="178" t="s">
        <v>257</v>
      </c>
      <c r="P226" s="13">
        <f t="shared" si="7"/>
        <v>0</v>
      </c>
      <c r="Q226" s="175" t="s">
        <v>245</v>
      </c>
    </row>
    <row r="227" spans="1:17" ht="20.100000000000001" customHeight="1">
      <c r="A227" s="395" t="s">
        <v>538</v>
      </c>
      <c r="B227" s="189" t="s">
        <v>46</v>
      </c>
      <c r="C227" s="243" t="s">
        <v>258</v>
      </c>
      <c r="D227" s="244">
        <f>SUM(D228:D236)</f>
        <v>36310</v>
      </c>
      <c r="E227" s="396">
        <f>SUM(E228:E236)</f>
        <v>11610</v>
      </c>
      <c r="F227" s="338">
        <f>SUM(F228:F236)</f>
        <v>18973</v>
      </c>
      <c r="G227" s="246">
        <f>+E227-D227</f>
        <v>-24700</v>
      </c>
      <c r="H227" s="247">
        <f>+G227/D227*100</f>
        <v>-68.02533737262462</v>
      </c>
      <c r="I227" s="248"/>
      <c r="J227" s="249"/>
      <c r="K227" s="250"/>
      <c r="L227" s="339"/>
      <c r="M227" s="251"/>
      <c r="N227" s="251"/>
      <c r="O227" s="340"/>
      <c r="P227" s="397">
        <f>SUM(P228,P234)</f>
        <v>11610000</v>
      </c>
      <c r="Q227" s="117" t="s">
        <v>245</v>
      </c>
    </row>
    <row r="228" spans="1:17" ht="15.95" customHeight="1">
      <c r="A228" s="105"/>
      <c r="B228" s="119"/>
      <c r="C228" s="42" t="s">
        <v>222</v>
      </c>
      <c r="D228" s="276">
        <v>20310</v>
      </c>
      <c r="E228" s="277">
        <f>+P228/1000</f>
        <v>11610</v>
      </c>
      <c r="F228" s="150">
        <v>18973</v>
      </c>
      <c r="G228" s="278">
        <f>+E228-D228</f>
        <v>-8700</v>
      </c>
      <c r="H228" s="279">
        <f>+G228/D228*100</f>
        <v>-42.836041358936484</v>
      </c>
      <c r="I228" s="182"/>
      <c r="J228" s="259"/>
      <c r="K228" s="127"/>
      <c r="L228" s="222"/>
      <c r="M228" s="152" t="s">
        <v>253</v>
      </c>
      <c r="N228" s="152"/>
      <c r="O228" s="152"/>
      <c r="P228" s="259">
        <f>SUM(P229:P233)</f>
        <v>11610000</v>
      </c>
      <c r="Q228" s="129" t="s">
        <v>245</v>
      </c>
    </row>
    <row r="229" spans="1:17" ht="15.95" customHeight="1">
      <c r="A229" s="105"/>
      <c r="B229" s="119"/>
      <c r="C229" s="43"/>
      <c r="D229" s="281"/>
      <c r="E229" s="282"/>
      <c r="F229" s="155"/>
      <c r="G229" s="283"/>
      <c r="H229" s="284"/>
      <c r="I229" s="184" t="s">
        <v>215</v>
      </c>
      <c r="J229" s="293">
        <v>3575000</v>
      </c>
      <c r="K229" s="115" t="s">
        <v>245</v>
      </c>
      <c r="L229" s="137" t="s">
        <v>251</v>
      </c>
      <c r="M229" s="116">
        <v>2</v>
      </c>
      <c r="N229" s="116" t="s">
        <v>255</v>
      </c>
      <c r="O229" s="116" t="s">
        <v>257</v>
      </c>
      <c r="P229" s="293">
        <f>J229*M229</f>
        <v>7150000</v>
      </c>
      <c r="Q229" s="17" t="s">
        <v>245</v>
      </c>
    </row>
    <row r="230" spans="1:17" ht="15.95" customHeight="1">
      <c r="A230" s="105"/>
      <c r="B230" s="119"/>
      <c r="C230" s="43"/>
      <c r="D230" s="281"/>
      <c r="E230" s="282"/>
      <c r="F230" s="134"/>
      <c r="G230" s="283"/>
      <c r="H230" s="284"/>
      <c r="I230" s="184" t="s">
        <v>464</v>
      </c>
      <c r="J230" s="293">
        <v>560000</v>
      </c>
      <c r="K230" s="115" t="s">
        <v>245</v>
      </c>
      <c r="L230" s="137" t="s">
        <v>251</v>
      </c>
      <c r="M230" s="116">
        <v>1</v>
      </c>
      <c r="N230" s="116" t="s">
        <v>255</v>
      </c>
      <c r="O230" s="116" t="s">
        <v>257</v>
      </c>
      <c r="P230" s="293">
        <f>SUM(J230*M230)</f>
        <v>560000</v>
      </c>
      <c r="Q230" s="17" t="s">
        <v>245</v>
      </c>
    </row>
    <row r="231" spans="1:17" ht="15.95" customHeight="1">
      <c r="A231" s="105"/>
      <c r="B231" s="119"/>
      <c r="C231" s="43"/>
      <c r="D231" s="281"/>
      <c r="E231" s="282"/>
      <c r="F231" s="134"/>
      <c r="G231" s="283"/>
      <c r="H231" s="284"/>
      <c r="I231" s="184" t="s">
        <v>150</v>
      </c>
      <c r="J231" s="293">
        <v>3000000</v>
      </c>
      <c r="K231" s="115" t="s">
        <v>245</v>
      </c>
      <c r="L231" s="137" t="s">
        <v>251</v>
      </c>
      <c r="M231" s="116">
        <v>1</v>
      </c>
      <c r="N231" s="116" t="s">
        <v>255</v>
      </c>
      <c r="O231" s="116" t="s">
        <v>257</v>
      </c>
      <c r="P231" s="293">
        <f>SUM(J231*M231)</f>
        <v>3000000</v>
      </c>
      <c r="Q231" s="17" t="s">
        <v>245</v>
      </c>
    </row>
    <row r="232" spans="1:17" ht="15.95" customHeight="1">
      <c r="A232" s="105"/>
      <c r="B232" s="119"/>
      <c r="C232" s="43"/>
      <c r="D232" s="281"/>
      <c r="E232" s="282"/>
      <c r="F232" s="134"/>
      <c r="G232" s="283"/>
      <c r="H232" s="284"/>
      <c r="I232" s="184" t="s">
        <v>213</v>
      </c>
      <c r="J232" s="293">
        <v>300000</v>
      </c>
      <c r="K232" s="115" t="s">
        <v>245</v>
      </c>
      <c r="L232" s="137" t="s">
        <v>251</v>
      </c>
      <c r="M232" s="116">
        <v>1</v>
      </c>
      <c r="N232" s="116" t="s">
        <v>255</v>
      </c>
      <c r="O232" s="116" t="s">
        <v>257</v>
      </c>
      <c r="P232" s="293">
        <f>SUM(J232*M232)</f>
        <v>300000</v>
      </c>
      <c r="Q232" s="17" t="s">
        <v>245</v>
      </c>
    </row>
    <row r="233" spans="1:17" ht="15.95" customHeight="1">
      <c r="A233" s="105"/>
      <c r="B233" s="119"/>
      <c r="C233" s="390"/>
      <c r="D233" s="287"/>
      <c r="E233" s="288"/>
      <c r="F233" s="134"/>
      <c r="G233" s="289"/>
      <c r="H233" s="290"/>
      <c r="I233" s="398" t="s">
        <v>473</v>
      </c>
      <c r="J233" s="293">
        <v>200000</v>
      </c>
      <c r="K233" s="18" t="s">
        <v>245</v>
      </c>
      <c r="L233" s="21" t="s">
        <v>251</v>
      </c>
      <c r="M233" s="20">
        <v>3</v>
      </c>
      <c r="N233" s="20" t="s">
        <v>255</v>
      </c>
      <c r="O233" s="22" t="s">
        <v>257</v>
      </c>
      <c r="P233" s="19">
        <f>SUM(J233*M233)</f>
        <v>600000</v>
      </c>
      <c r="Q233" s="23" t="s">
        <v>245</v>
      </c>
    </row>
    <row r="234" spans="1:17" ht="15.95" customHeight="1">
      <c r="A234" s="105"/>
      <c r="B234" s="119"/>
      <c r="C234" s="399" t="s">
        <v>26</v>
      </c>
      <c r="D234" s="309">
        <v>16000</v>
      </c>
      <c r="E234" s="400">
        <f>+P234/1000</f>
        <v>0</v>
      </c>
      <c r="F234" s="401">
        <v>0</v>
      </c>
      <c r="G234" s="311">
        <f>+E234-D234</f>
        <v>-16000</v>
      </c>
      <c r="H234" s="312">
        <f>G234/D234*100</f>
        <v>-100</v>
      </c>
      <c r="I234" s="182"/>
      <c r="J234" s="402"/>
      <c r="K234" s="403"/>
      <c r="L234" s="404"/>
      <c r="M234" s="295" t="s">
        <v>253</v>
      </c>
      <c r="N234" s="295"/>
      <c r="O234" s="295"/>
      <c r="P234" s="402">
        <f>SUM(P235:P236)</f>
        <v>0</v>
      </c>
      <c r="Q234" s="405" t="s">
        <v>245</v>
      </c>
    </row>
    <row r="235" spans="1:17" ht="15.95" customHeight="1">
      <c r="A235" s="105"/>
      <c r="B235" s="119"/>
      <c r="C235" s="399"/>
      <c r="D235" s="309"/>
      <c r="E235" s="400"/>
      <c r="F235" s="401"/>
      <c r="G235" s="311"/>
      <c r="H235" s="312"/>
      <c r="I235" s="209" t="s">
        <v>445</v>
      </c>
      <c r="J235" s="19"/>
      <c r="K235" s="18" t="s">
        <v>245</v>
      </c>
      <c r="L235" s="21" t="s">
        <v>251</v>
      </c>
      <c r="M235" s="20"/>
      <c r="N235" s="20" t="s">
        <v>255</v>
      </c>
      <c r="O235" s="22" t="s">
        <v>257</v>
      </c>
      <c r="P235" s="19">
        <f>SUM(J235*M235)</f>
        <v>0</v>
      </c>
      <c r="Q235" s="23" t="s">
        <v>245</v>
      </c>
    </row>
    <row r="236" spans="1:17" ht="15.95" customHeight="1">
      <c r="A236" s="105"/>
      <c r="B236" s="119"/>
      <c r="C236" s="399"/>
      <c r="D236" s="309"/>
      <c r="E236" s="400"/>
      <c r="F236" s="401"/>
      <c r="G236" s="311"/>
      <c r="H236" s="312"/>
      <c r="I236" s="406" t="s">
        <v>185</v>
      </c>
      <c r="J236" s="25"/>
      <c r="K236" s="307" t="s">
        <v>245</v>
      </c>
      <c r="L236" s="21" t="s">
        <v>251</v>
      </c>
      <c r="M236" s="20"/>
      <c r="N236" s="20" t="s">
        <v>255</v>
      </c>
      <c r="O236" s="22" t="s">
        <v>257</v>
      </c>
      <c r="P236" s="19">
        <f>SUM(J236*M236)</f>
        <v>0</v>
      </c>
      <c r="Q236" s="23" t="s">
        <v>245</v>
      </c>
    </row>
    <row r="237" spans="1:17" ht="20.100000000000001" customHeight="1">
      <c r="A237" s="105"/>
      <c r="B237" s="407" t="s">
        <v>58</v>
      </c>
      <c r="C237" s="408" t="s">
        <v>258</v>
      </c>
      <c r="D237" s="396">
        <f>SUM(D238:D245)</f>
        <v>69394</v>
      </c>
      <c r="E237" s="396">
        <f>SUM(E238:E245)</f>
        <v>50494</v>
      </c>
      <c r="F237" s="409" t="e">
        <f>SUM(#REF!)</f>
        <v>#REF!</v>
      </c>
      <c r="G237" s="246">
        <f>E237-D237</f>
        <v>-18900</v>
      </c>
      <c r="H237" s="247">
        <f>+G237/D237*100</f>
        <v>-27.235784073551027</v>
      </c>
      <c r="I237" s="304"/>
      <c r="J237" s="249"/>
      <c r="K237" s="250"/>
      <c r="L237" s="339"/>
      <c r="M237" s="251"/>
      <c r="N237" s="251"/>
      <c r="O237" s="340"/>
      <c r="P237" s="397">
        <f>SUM(P238,P241)</f>
        <v>50494000</v>
      </c>
      <c r="Q237" s="410" t="s">
        <v>245</v>
      </c>
    </row>
    <row r="238" spans="1:17" ht="15.95" customHeight="1">
      <c r="A238" s="105"/>
      <c r="B238" s="411"/>
      <c r="C238" s="42" t="s">
        <v>106</v>
      </c>
      <c r="D238" s="148">
        <v>28594</v>
      </c>
      <c r="E238" s="149">
        <f>+P238/1000</f>
        <v>24694</v>
      </c>
      <c r="F238" s="150">
        <v>661</v>
      </c>
      <c r="G238" s="278">
        <f>E238-D238</f>
        <v>-3900</v>
      </c>
      <c r="H238" s="151">
        <f>G238/D238*100</f>
        <v>-13.639225012240331</v>
      </c>
      <c r="I238" s="158"/>
      <c r="J238" s="259"/>
      <c r="K238" s="127"/>
      <c r="L238" s="222"/>
      <c r="M238" s="152" t="s">
        <v>253</v>
      </c>
      <c r="N238" s="152"/>
      <c r="O238" s="152"/>
      <c r="P238" s="259">
        <f>SUM(P239:P240)</f>
        <v>24694000</v>
      </c>
      <c r="Q238" s="129" t="s">
        <v>245</v>
      </c>
    </row>
    <row r="239" spans="1:17" ht="15.95" customHeight="1">
      <c r="A239" s="105"/>
      <c r="B239" s="411"/>
      <c r="C239" s="43"/>
      <c r="D239" s="153"/>
      <c r="E239" s="154"/>
      <c r="F239" s="155"/>
      <c r="G239" s="283"/>
      <c r="H239" s="156"/>
      <c r="I239" s="157" t="s">
        <v>422</v>
      </c>
      <c r="J239" s="293">
        <v>12694000</v>
      </c>
      <c r="K239" s="115" t="s">
        <v>245</v>
      </c>
      <c r="L239" s="137" t="s">
        <v>251</v>
      </c>
      <c r="M239" s="116">
        <v>1</v>
      </c>
      <c r="N239" s="116" t="s">
        <v>255</v>
      </c>
      <c r="O239" s="116" t="s">
        <v>257</v>
      </c>
      <c r="P239" s="293">
        <f>+J239*M239</f>
        <v>12694000</v>
      </c>
      <c r="Q239" s="17" t="s">
        <v>245</v>
      </c>
    </row>
    <row r="240" spans="1:17" ht="15.95" customHeight="1">
      <c r="A240" s="105"/>
      <c r="B240" s="411"/>
      <c r="C240" s="43"/>
      <c r="D240" s="153"/>
      <c r="E240" s="154"/>
      <c r="F240" s="155"/>
      <c r="G240" s="283"/>
      <c r="H240" s="156"/>
      <c r="I240" s="157" t="s">
        <v>410</v>
      </c>
      <c r="J240" s="293">
        <v>12000000</v>
      </c>
      <c r="K240" s="115" t="s">
        <v>246</v>
      </c>
      <c r="L240" s="137" t="s">
        <v>251</v>
      </c>
      <c r="M240" s="116">
        <v>1</v>
      </c>
      <c r="N240" s="116" t="s">
        <v>255</v>
      </c>
      <c r="O240" s="116" t="s">
        <v>257</v>
      </c>
      <c r="P240" s="293">
        <f>+J240*M240</f>
        <v>12000000</v>
      </c>
      <c r="Q240" s="17" t="s">
        <v>245</v>
      </c>
    </row>
    <row r="241" spans="1:17" ht="15.95" customHeight="1">
      <c r="A241" s="369"/>
      <c r="B241" s="370"/>
      <c r="C241" s="42" t="s">
        <v>331</v>
      </c>
      <c r="D241" s="148">
        <v>40800</v>
      </c>
      <c r="E241" s="149">
        <f>+P241/1000</f>
        <v>25800</v>
      </c>
      <c r="F241" s="150">
        <v>661</v>
      </c>
      <c r="G241" s="311">
        <f>E241-D241</f>
        <v>-15000</v>
      </c>
      <c r="H241" s="151">
        <f>G241/D241*100</f>
        <v>-36.764705882352942</v>
      </c>
      <c r="I241" s="412"/>
      <c r="J241" s="402"/>
      <c r="K241" s="403"/>
      <c r="L241" s="404"/>
      <c r="M241" s="295" t="s">
        <v>253</v>
      </c>
      <c r="N241" s="295"/>
      <c r="O241" s="295"/>
      <c r="P241" s="402">
        <f>SUM(P242:P245)</f>
        <v>25800000</v>
      </c>
      <c r="Q241" s="405" t="s">
        <v>245</v>
      </c>
    </row>
    <row r="242" spans="1:17" ht="15.95" customHeight="1">
      <c r="A242" s="105"/>
      <c r="B242" s="411"/>
      <c r="C242" s="43"/>
      <c r="D242" s="153"/>
      <c r="E242" s="154"/>
      <c r="F242" s="155"/>
      <c r="G242" s="311"/>
      <c r="H242" s="156"/>
      <c r="I242" s="202" t="s">
        <v>489</v>
      </c>
      <c r="J242" s="19">
        <v>700000</v>
      </c>
      <c r="K242" s="115" t="s">
        <v>245</v>
      </c>
      <c r="L242" s="137" t="s">
        <v>251</v>
      </c>
      <c r="M242" s="116">
        <v>12</v>
      </c>
      <c r="N242" s="116" t="s">
        <v>246</v>
      </c>
      <c r="O242" s="138" t="s">
        <v>257</v>
      </c>
      <c r="P242" s="19">
        <f>+J242*M242</f>
        <v>8400000</v>
      </c>
      <c r="Q242" s="17" t="s">
        <v>245</v>
      </c>
    </row>
    <row r="243" spans="1:17" ht="15.95" customHeight="1">
      <c r="A243" s="105"/>
      <c r="B243" s="411"/>
      <c r="C243" s="43"/>
      <c r="D243" s="153"/>
      <c r="E243" s="154"/>
      <c r="F243" s="155"/>
      <c r="G243" s="311"/>
      <c r="H243" s="156"/>
      <c r="I243" s="202" t="s">
        <v>28</v>
      </c>
      <c r="J243" s="19">
        <v>68000</v>
      </c>
      <c r="K243" s="115" t="s">
        <v>245</v>
      </c>
      <c r="L243" s="137" t="s">
        <v>251</v>
      </c>
      <c r="M243" s="116">
        <v>250</v>
      </c>
      <c r="N243" s="116" t="s">
        <v>255</v>
      </c>
      <c r="O243" s="138" t="s">
        <v>257</v>
      </c>
      <c r="P243" s="19">
        <f>+J243*M243</f>
        <v>17000000</v>
      </c>
      <c r="Q243" s="17" t="s">
        <v>245</v>
      </c>
    </row>
    <row r="244" spans="1:17" ht="15.95" customHeight="1">
      <c r="A244" s="105"/>
      <c r="B244" s="411"/>
      <c r="C244" s="43"/>
      <c r="D244" s="153"/>
      <c r="E244" s="154"/>
      <c r="F244" s="155"/>
      <c r="G244" s="311"/>
      <c r="H244" s="156"/>
      <c r="I244" s="413" t="s">
        <v>316</v>
      </c>
      <c r="J244" s="19">
        <v>0</v>
      </c>
      <c r="K244" s="18" t="s">
        <v>245</v>
      </c>
      <c r="L244" s="21" t="s">
        <v>251</v>
      </c>
      <c r="M244" s="20">
        <v>0</v>
      </c>
      <c r="N244" s="20" t="s">
        <v>255</v>
      </c>
      <c r="O244" s="22" t="s">
        <v>257</v>
      </c>
      <c r="P244" s="19">
        <f>+J244*M244</f>
        <v>0</v>
      </c>
      <c r="Q244" s="23" t="s">
        <v>245</v>
      </c>
    </row>
    <row r="245" spans="1:17" ht="15.95" customHeight="1">
      <c r="A245" s="105"/>
      <c r="B245" s="414"/>
      <c r="C245" s="390"/>
      <c r="D245" s="159"/>
      <c r="E245" s="160"/>
      <c r="F245" s="161"/>
      <c r="G245" s="311"/>
      <c r="H245" s="162" t="e">
        <f>+E245/D245*100</f>
        <v>#DIV/0!</v>
      </c>
      <c r="I245" s="186" t="s">
        <v>47</v>
      </c>
      <c r="J245" s="25">
        <v>400000</v>
      </c>
      <c r="K245" s="14" t="s">
        <v>245</v>
      </c>
      <c r="L245" s="15" t="s">
        <v>251</v>
      </c>
      <c r="M245" s="16">
        <v>1</v>
      </c>
      <c r="N245" s="16" t="s">
        <v>255</v>
      </c>
      <c r="O245" s="178" t="s">
        <v>257</v>
      </c>
      <c r="P245" s="25">
        <f>+J245*M245</f>
        <v>400000</v>
      </c>
      <c r="Q245" s="175" t="s">
        <v>245</v>
      </c>
    </row>
    <row r="246" spans="1:17" ht="20.100000000000001" customHeight="1">
      <c r="A246" s="292" t="s">
        <v>277</v>
      </c>
      <c r="B246" s="189" t="s">
        <v>70</v>
      </c>
      <c r="C246" s="415" t="s">
        <v>258</v>
      </c>
      <c r="D246" s="416">
        <f>SUM(D247:D256)</f>
        <v>26688</v>
      </c>
      <c r="E246" s="417">
        <f>SUM(E247:E256)</f>
        <v>21688</v>
      </c>
      <c r="F246" s="134">
        <f>SUM(F247:F256)</f>
        <v>16571</v>
      </c>
      <c r="G246" s="418">
        <f>+E246-D246</f>
        <v>-5000</v>
      </c>
      <c r="H246" s="419">
        <f>+G246/D246*100</f>
        <v>-18.735011990407674</v>
      </c>
      <c r="I246" s="420"/>
      <c r="J246" s="19"/>
      <c r="K246" s="18"/>
      <c r="L246" s="421"/>
      <c r="M246" s="422"/>
      <c r="N246" s="422"/>
      <c r="O246" s="423"/>
      <c r="P246" s="424">
        <f>SUM(P247,P253)</f>
        <v>21688000</v>
      </c>
      <c r="Q246" s="425" t="s">
        <v>245</v>
      </c>
    </row>
    <row r="247" spans="1:17" ht="15.95" customHeight="1">
      <c r="A247" s="105"/>
      <c r="B247" s="426"/>
      <c r="C247" s="330" t="s">
        <v>45</v>
      </c>
      <c r="D247" s="148">
        <v>19288</v>
      </c>
      <c r="E247" s="149">
        <f>+P247/1000</f>
        <v>17688</v>
      </c>
      <c r="F247" s="150">
        <v>9358</v>
      </c>
      <c r="G247" s="122">
        <f>+E247-D247</f>
        <v>-1600</v>
      </c>
      <c r="H247" s="151">
        <f>+G247/D247*100</f>
        <v>-8.2953131480713402</v>
      </c>
      <c r="I247" s="427"/>
      <c r="J247" s="402"/>
      <c r="K247" s="403"/>
      <c r="L247" s="403"/>
      <c r="M247" s="295" t="s">
        <v>253</v>
      </c>
      <c r="N247" s="295"/>
      <c r="O247" s="295"/>
      <c r="P247" s="428">
        <f>SUM(P248:P252)</f>
        <v>17688000</v>
      </c>
      <c r="Q247" s="405" t="s">
        <v>245</v>
      </c>
    </row>
    <row r="248" spans="1:17" ht="15.95" customHeight="1">
      <c r="A248" s="105"/>
      <c r="B248" s="119"/>
      <c r="C248" s="331"/>
      <c r="D248" s="153"/>
      <c r="E248" s="154"/>
      <c r="F248" s="155"/>
      <c r="G248" s="133"/>
      <c r="H248" s="156"/>
      <c r="I248" s="420" t="s">
        <v>34</v>
      </c>
      <c r="J248" s="19">
        <v>24000</v>
      </c>
      <c r="K248" s="18" t="s">
        <v>245</v>
      </c>
      <c r="L248" s="21" t="s">
        <v>251</v>
      </c>
      <c r="M248" s="20">
        <v>12</v>
      </c>
      <c r="N248" s="20" t="s">
        <v>246</v>
      </c>
      <c r="O248" s="22" t="s">
        <v>257</v>
      </c>
      <c r="P248" s="19">
        <f>SUM(J248*M248)</f>
        <v>288000</v>
      </c>
      <c r="Q248" s="23" t="s">
        <v>245</v>
      </c>
    </row>
    <row r="249" spans="1:17" ht="15.95" customHeight="1">
      <c r="A249" s="105"/>
      <c r="B249" s="119"/>
      <c r="C249" s="331"/>
      <c r="D249" s="153"/>
      <c r="E249" s="154"/>
      <c r="F249" s="155"/>
      <c r="G249" s="133"/>
      <c r="H249" s="156"/>
      <c r="I249" s="420" t="s">
        <v>174</v>
      </c>
      <c r="J249" s="19">
        <v>350000</v>
      </c>
      <c r="K249" s="18" t="s">
        <v>245</v>
      </c>
      <c r="L249" s="21" t="s">
        <v>251</v>
      </c>
      <c r="M249" s="20">
        <v>12</v>
      </c>
      <c r="N249" s="20" t="s">
        <v>246</v>
      </c>
      <c r="O249" s="22" t="s">
        <v>257</v>
      </c>
      <c r="P249" s="19">
        <f>SUM(J249*M249)</f>
        <v>4200000</v>
      </c>
      <c r="Q249" s="23" t="s">
        <v>245</v>
      </c>
    </row>
    <row r="250" spans="1:17" ht="15.95" customHeight="1">
      <c r="A250" s="105"/>
      <c r="B250" s="119"/>
      <c r="C250" s="331"/>
      <c r="D250" s="153"/>
      <c r="E250" s="154"/>
      <c r="F250" s="155"/>
      <c r="G250" s="133"/>
      <c r="H250" s="156"/>
      <c r="I250" s="420" t="s">
        <v>310</v>
      </c>
      <c r="J250" s="19">
        <v>1000000</v>
      </c>
      <c r="K250" s="18" t="s">
        <v>245</v>
      </c>
      <c r="L250" s="21" t="s">
        <v>251</v>
      </c>
      <c r="M250" s="20">
        <v>12</v>
      </c>
      <c r="N250" s="20" t="s">
        <v>246</v>
      </c>
      <c r="O250" s="22" t="s">
        <v>257</v>
      </c>
      <c r="P250" s="19">
        <f>SUM(J250*M250)</f>
        <v>12000000</v>
      </c>
      <c r="Q250" s="23" t="s">
        <v>245</v>
      </c>
    </row>
    <row r="251" spans="1:17" ht="15.95" customHeight="1">
      <c r="A251" s="105"/>
      <c r="B251" s="119"/>
      <c r="C251" s="331"/>
      <c r="D251" s="153"/>
      <c r="E251" s="154"/>
      <c r="F251" s="155"/>
      <c r="G251" s="133"/>
      <c r="H251" s="156"/>
      <c r="I251" s="420" t="s">
        <v>477</v>
      </c>
      <c r="J251" s="19">
        <v>100000</v>
      </c>
      <c r="K251" s="18" t="s">
        <v>245</v>
      </c>
      <c r="L251" s="21" t="s">
        <v>251</v>
      </c>
      <c r="M251" s="20">
        <v>12</v>
      </c>
      <c r="N251" s="20" t="s">
        <v>255</v>
      </c>
      <c r="O251" s="22" t="s">
        <v>257</v>
      </c>
      <c r="P251" s="19">
        <f>SUM(J251*M251)</f>
        <v>1200000</v>
      </c>
      <c r="Q251" s="23" t="s">
        <v>245</v>
      </c>
    </row>
    <row r="252" spans="1:17" ht="15.95" customHeight="1">
      <c r="A252" s="105"/>
      <c r="B252" s="119"/>
      <c r="C252" s="334"/>
      <c r="D252" s="159"/>
      <c r="E252" s="160"/>
      <c r="F252" s="134"/>
      <c r="G252" s="144"/>
      <c r="H252" s="162"/>
      <c r="I252" s="420" t="s">
        <v>201</v>
      </c>
      <c r="J252" s="19"/>
      <c r="K252" s="18" t="s">
        <v>245</v>
      </c>
      <c r="L252" s="21" t="s">
        <v>251</v>
      </c>
      <c r="M252" s="20"/>
      <c r="N252" s="20" t="s">
        <v>255</v>
      </c>
      <c r="O252" s="22" t="s">
        <v>257</v>
      </c>
      <c r="P252" s="19">
        <f>SUM(J252*M252)</f>
        <v>0</v>
      </c>
      <c r="Q252" s="23" t="s">
        <v>245</v>
      </c>
    </row>
    <row r="253" spans="1:17" ht="15.95" customHeight="1">
      <c r="A253" s="105"/>
      <c r="B253" s="119"/>
      <c r="C253" s="330" t="s">
        <v>80</v>
      </c>
      <c r="D253" s="148">
        <v>7400</v>
      </c>
      <c r="E253" s="149">
        <f>+P253/1000</f>
        <v>4000</v>
      </c>
      <c r="F253" s="150">
        <v>7213</v>
      </c>
      <c r="G253" s="122">
        <f>+E253-D253</f>
        <v>-3400</v>
      </c>
      <c r="H253" s="151">
        <f>+G253/D253*100</f>
        <v>-45.945945945945951</v>
      </c>
      <c r="I253" s="427"/>
      <c r="J253" s="402"/>
      <c r="K253" s="403"/>
      <c r="L253" s="404"/>
      <c r="M253" s="295" t="s">
        <v>253</v>
      </c>
      <c r="N253" s="295"/>
      <c r="O253" s="295"/>
      <c r="P253" s="428">
        <f>SUM(P254:P256)</f>
        <v>4000000</v>
      </c>
      <c r="Q253" s="405" t="s">
        <v>245</v>
      </c>
    </row>
    <row r="254" spans="1:17" ht="15.95" customHeight="1">
      <c r="A254" s="105"/>
      <c r="B254" s="119"/>
      <c r="C254" s="331"/>
      <c r="D254" s="429"/>
      <c r="E254" s="430"/>
      <c r="F254" s="155"/>
      <c r="G254" s="431"/>
      <c r="H254" s="432"/>
      <c r="I254" s="433" t="s">
        <v>214</v>
      </c>
      <c r="J254" s="19">
        <v>250000</v>
      </c>
      <c r="K254" s="18" t="s">
        <v>245</v>
      </c>
      <c r="L254" s="21" t="s">
        <v>251</v>
      </c>
      <c r="M254" s="20">
        <v>12</v>
      </c>
      <c r="N254" s="20" t="s">
        <v>255</v>
      </c>
      <c r="O254" s="22"/>
      <c r="P254" s="19">
        <f>SUM(J254*M254)</f>
        <v>3000000</v>
      </c>
      <c r="Q254" s="23" t="s">
        <v>245</v>
      </c>
    </row>
    <row r="255" spans="1:17" ht="15.95" customHeight="1">
      <c r="A255" s="105"/>
      <c r="B255" s="119"/>
      <c r="C255" s="331"/>
      <c r="D255" s="429"/>
      <c r="E255" s="430"/>
      <c r="F255" s="155"/>
      <c r="G255" s="431"/>
      <c r="H255" s="432"/>
      <c r="I255" s="420" t="s">
        <v>192</v>
      </c>
      <c r="J255" s="19">
        <v>1000000</v>
      </c>
      <c r="K255" s="18" t="s">
        <v>245</v>
      </c>
      <c r="L255" s="21" t="s">
        <v>251</v>
      </c>
      <c r="M255" s="20">
        <v>1</v>
      </c>
      <c r="N255" s="20" t="s">
        <v>255</v>
      </c>
      <c r="O255" s="22" t="s">
        <v>257</v>
      </c>
      <c r="P255" s="19">
        <f>SUM(J255*M255)</f>
        <v>1000000</v>
      </c>
      <c r="Q255" s="23" t="s">
        <v>245</v>
      </c>
    </row>
    <row r="256" spans="1:17" ht="15.95" customHeight="1">
      <c r="A256" s="105"/>
      <c r="B256" s="119"/>
      <c r="C256" s="331"/>
      <c r="D256" s="429"/>
      <c r="E256" s="430"/>
      <c r="F256" s="155"/>
      <c r="G256" s="431"/>
      <c r="H256" s="432"/>
      <c r="I256" s="433" t="s">
        <v>32</v>
      </c>
      <c r="J256" s="19">
        <v>0</v>
      </c>
      <c r="K256" s="18" t="s">
        <v>245</v>
      </c>
      <c r="L256" s="21" t="s">
        <v>251</v>
      </c>
      <c r="M256" s="20">
        <v>0</v>
      </c>
      <c r="N256" s="20" t="s">
        <v>255</v>
      </c>
      <c r="O256" s="22" t="s">
        <v>257</v>
      </c>
      <c r="P256" s="19">
        <f>SUM(J256*M256)</f>
        <v>0</v>
      </c>
      <c r="Q256" s="23" t="s">
        <v>245</v>
      </c>
    </row>
    <row r="257" spans="1:17" ht="18" customHeight="1">
      <c r="A257" s="91" t="s">
        <v>538</v>
      </c>
      <c r="B257" s="189" t="s">
        <v>54</v>
      </c>
      <c r="C257" s="434" t="s">
        <v>258</v>
      </c>
      <c r="D257" s="244">
        <f>SUM(D258:D259)</f>
        <v>68840</v>
      </c>
      <c r="E257" s="396">
        <f>SUM(E258:E259)</f>
        <v>68839.645999999993</v>
      </c>
      <c r="F257" s="338">
        <f>SUM(F258:F259)</f>
        <v>2500</v>
      </c>
      <c r="G257" s="246">
        <f>+E257-D257</f>
        <v>-0.35400000000663567</v>
      </c>
      <c r="H257" s="247">
        <f>+G257/D257*100</f>
        <v>-5.1423590936466542E-4</v>
      </c>
      <c r="I257" s="304"/>
      <c r="J257" s="249"/>
      <c r="K257" s="250"/>
      <c r="L257" s="339"/>
      <c r="M257" s="251"/>
      <c r="N257" s="251"/>
      <c r="O257" s="340"/>
      <c r="P257" s="249">
        <f>P258</f>
        <v>68839646</v>
      </c>
      <c r="Q257" s="117" t="s">
        <v>245</v>
      </c>
    </row>
    <row r="258" spans="1:17" ht="18" customHeight="1">
      <c r="A258" s="147"/>
      <c r="B258" s="435" t="s">
        <v>277</v>
      </c>
      <c r="C258" s="42" t="s">
        <v>320</v>
      </c>
      <c r="D258" s="148">
        <v>68840</v>
      </c>
      <c r="E258" s="149">
        <f>+P258/1000</f>
        <v>68839.645999999993</v>
      </c>
      <c r="F258" s="150">
        <v>2500</v>
      </c>
      <c r="G258" s="122">
        <f>+E258-D258</f>
        <v>-0.35400000000663567</v>
      </c>
      <c r="H258" s="124">
        <f>+G258/D258*100</f>
        <v>-5.1423590936466542E-4</v>
      </c>
      <c r="I258" s="436"/>
      <c r="J258" s="437"/>
      <c r="K258" s="127"/>
      <c r="L258" s="128"/>
      <c r="M258" s="152" t="s">
        <v>253</v>
      </c>
      <c r="N258" s="152"/>
      <c r="O258" s="152"/>
      <c r="P258" s="126">
        <f>SUM(P259:P261)</f>
        <v>68839646</v>
      </c>
      <c r="Q258" s="129" t="s">
        <v>245</v>
      </c>
    </row>
    <row r="259" spans="1:17" ht="18" customHeight="1">
      <c r="A259" s="147"/>
      <c r="B259" s="392"/>
      <c r="C259" s="43"/>
      <c r="D259" s="153"/>
      <c r="E259" s="154"/>
      <c r="F259" s="161"/>
      <c r="G259" s="133"/>
      <c r="H259" s="135"/>
      <c r="I259" s="157" t="s">
        <v>73</v>
      </c>
      <c r="J259" s="114">
        <v>10000000</v>
      </c>
      <c r="K259" s="115" t="s">
        <v>245</v>
      </c>
      <c r="L259" s="137" t="s">
        <v>251</v>
      </c>
      <c r="M259" s="116">
        <v>1</v>
      </c>
      <c r="N259" s="116" t="s">
        <v>255</v>
      </c>
      <c r="O259" s="138" t="s">
        <v>257</v>
      </c>
      <c r="P259" s="114">
        <f>SUM(J259*M259)</f>
        <v>10000000</v>
      </c>
      <c r="Q259" s="17" t="s">
        <v>245</v>
      </c>
    </row>
    <row r="260" spans="1:17" ht="18" customHeight="1">
      <c r="A260" s="147"/>
      <c r="B260" s="392"/>
      <c r="C260" s="43"/>
      <c r="D260" s="153"/>
      <c r="E260" s="154"/>
      <c r="F260" s="134"/>
      <c r="G260" s="133"/>
      <c r="H260" s="135"/>
      <c r="I260" s="225" t="s">
        <v>12</v>
      </c>
      <c r="J260" s="114">
        <v>5709911.5</v>
      </c>
      <c r="K260" s="115" t="s">
        <v>245</v>
      </c>
      <c r="L260" s="137" t="s">
        <v>251</v>
      </c>
      <c r="M260" s="116">
        <v>4</v>
      </c>
      <c r="N260" s="116" t="s">
        <v>246</v>
      </c>
      <c r="O260" s="138" t="s">
        <v>257</v>
      </c>
      <c r="P260" s="114">
        <f>SUM(J260*M260)</f>
        <v>22839646</v>
      </c>
      <c r="Q260" s="17" t="s">
        <v>245</v>
      </c>
    </row>
    <row r="261" spans="1:17" ht="18" customHeight="1">
      <c r="A261" s="211"/>
      <c r="B261" s="438"/>
      <c r="C261" s="390"/>
      <c r="D261" s="159"/>
      <c r="E261" s="160"/>
      <c r="F261" s="134"/>
      <c r="G261" s="144"/>
      <c r="H261" s="145"/>
      <c r="I261" s="223" t="s">
        <v>311</v>
      </c>
      <c r="J261" s="114">
        <v>18000000</v>
      </c>
      <c r="K261" s="115" t="s">
        <v>245</v>
      </c>
      <c r="L261" s="137" t="s">
        <v>251</v>
      </c>
      <c r="M261" s="116">
        <v>2</v>
      </c>
      <c r="N261" s="116" t="s">
        <v>255</v>
      </c>
      <c r="O261" s="138" t="s">
        <v>257</v>
      </c>
      <c r="P261" s="114">
        <f>SUM(J261*M261)</f>
        <v>36000000</v>
      </c>
      <c r="Q261" s="17" t="s">
        <v>245</v>
      </c>
    </row>
    <row r="262" spans="1:17" ht="20.100000000000001" customHeight="1">
      <c r="A262" s="439" t="s">
        <v>292</v>
      </c>
      <c r="B262" s="440" t="s">
        <v>265</v>
      </c>
      <c r="C262" s="441"/>
      <c r="D262" s="192">
        <f>+D263</f>
        <v>17644</v>
      </c>
      <c r="E262" s="192">
        <f>+E263</f>
        <v>57596.114999999998</v>
      </c>
      <c r="F262" s="193"/>
      <c r="G262" s="194">
        <f>+E262-D262</f>
        <v>39952.114999999998</v>
      </c>
      <c r="H262" s="442">
        <f>+G262/D262*100</f>
        <v>226.43456699161186</v>
      </c>
      <c r="I262" s="182"/>
      <c r="J262" s="126"/>
      <c r="K262" s="127"/>
      <c r="L262" s="222"/>
      <c r="M262" s="128"/>
      <c r="N262" s="128"/>
      <c r="O262" s="385"/>
      <c r="P262" s="204">
        <f>P263</f>
        <v>57596115</v>
      </c>
      <c r="Q262" s="443" t="s">
        <v>245</v>
      </c>
    </row>
    <row r="263" spans="1:17" ht="15.95" customHeight="1">
      <c r="A263" s="147"/>
      <c r="B263" s="190" t="s">
        <v>292</v>
      </c>
      <c r="C263" s="330" t="s">
        <v>292</v>
      </c>
      <c r="D263" s="148">
        <v>17644</v>
      </c>
      <c r="E263" s="149">
        <f>+P263/1000</f>
        <v>57596.114999999998</v>
      </c>
      <c r="F263" s="123"/>
      <c r="G263" s="122">
        <f>+E263-D263</f>
        <v>39952.114999999998</v>
      </c>
      <c r="H263" s="124">
        <f>+G263/D263*100</f>
        <v>226.43456699161186</v>
      </c>
      <c r="I263" s="158"/>
      <c r="J263" s="259"/>
      <c r="K263" s="127"/>
      <c r="L263" s="222"/>
      <c r="M263" s="152" t="s">
        <v>253</v>
      </c>
      <c r="N263" s="152"/>
      <c r="O263" s="152"/>
      <c r="P263" s="126">
        <f>SUM(P264:P267)</f>
        <v>57596115</v>
      </c>
      <c r="Q263" s="129" t="s">
        <v>245</v>
      </c>
    </row>
    <row r="264" spans="1:17" ht="15.95" customHeight="1">
      <c r="A264" s="147"/>
      <c r="B264" s="392"/>
      <c r="C264" s="331"/>
      <c r="D264" s="153"/>
      <c r="E264" s="154"/>
      <c r="F264" s="134"/>
      <c r="G264" s="133"/>
      <c r="H264" s="135"/>
      <c r="I264" s="157" t="s">
        <v>325</v>
      </c>
      <c r="J264" s="293">
        <v>15250000</v>
      </c>
      <c r="K264" s="115" t="s">
        <v>245</v>
      </c>
      <c r="L264" s="137" t="s">
        <v>251</v>
      </c>
      <c r="M264" s="116">
        <v>2</v>
      </c>
      <c r="N264" s="116" t="s">
        <v>255</v>
      </c>
      <c r="O264" s="138" t="s">
        <v>257</v>
      </c>
      <c r="P264" s="200">
        <f>+J264*M264</f>
        <v>30500000</v>
      </c>
      <c r="Q264" s="17" t="s">
        <v>245</v>
      </c>
    </row>
    <row r="265" spans="1:17" ht="15.95" customHeight="1">
      <c r="A265" s="147"/>
      <c r="B265" s="392"/>
      <c r="C265" s="331"/>
      <c r="D265" s="153"/>
      <c r="E265" s="154"/>
      <c r="F265" s="134"/>
      <c r="G265" s="133"/>
      <c r="H265" s="135"/>
      <c r="I265" s="184" t="s">
        <v>467</v>
      </c>
      <c r="J265" s="293">
        <v>72320</v>
      </c>
      <c r="K265" s="115" t="s">
        <v>245</v>
      </c>
      <c r="L265" s="137" t="s">
        <v>251</v>
      </c>
      <c r="M265" s="116">
        <v>1</v>
      </c>
      <c r="N265" s="116" t="s">
        <v>297</v>
      </c>
      <c r="O265" s="138" t="s">
        <v>257</v>
      </c>
      <c r="P265" s="200">
        <f>+J265*M265</f>
        <v>72320</v>
      </c>
      <c r="Q265" s="17" t="s">
        <v>245</v>
      </c>
    </row>
    <row r="266" spans="1:17" ht="15.95" customHeight="1">
      <c r="A266" s="147"/>
      <c r="B266" s="392"/>
      <c r="C266" s="331"/>
      <c r="D266" s="153"/>
      <c r="E266" s="154"/>
      <c r="F266" s="134"/>
      <c r="G266" s="133"/>
      <c r="H266" s="135"/>
      <c r="I266" s="184" t="s">
        <v>463</v>
      </c>
      <c r="J266" s="293">
        <v>14452085</v>
      </c>
      <c r="K266" s="115" t="s">
        <v>245</v>
      </c>
      <c r="L266" s="137" t="s">
        <v>251</v>
      </c>
      <c r="M266" s="116">
        <v>1</v>
      </c>
      <c r="N266" s="116" t="s">
        <v>255</v>
      </c>
      <c r="O266" s="138" t="s">
        <v>257</v>
      </c>
      <c r="P266" s="200">
        <f>+J266*M266</f>
        <v>14452085</v>
      </c>
      <c r="Q266" s="17" t="s">
        <v>245</v>
      </c>
    </row>
    <row r="267" spans="1:17" ht="15.95" customHeight="1">
      <c r="A267" s="147"/>
      <c r="B267" s="392"/>
      <c r="C267" s="334"/>
      <c r="D267" s="159"/>
      <c r="E267" s="160"/>
      <c r="F267" s="134"/>
      <c r="G267" s="144"/>
      <c r="H267" s="145"/>
      <c r="I267" s="184" t="s">
        <v>309</v>
      </c>
      <c r="J267" s="293">
        <v>6285855</v>
      </c>
      <c r="K267" s="115" t="s">
        <v>245</v>
      </c>
      <c r="L267" s="137" t="s">
        <v>251</v>
      </c>
      <c r="M267" s="116">
        <v>2</v>
      </c>
      <c r="N267" s="116" t="s">
        <v>297</v>
      </c>
      <c r="O267" s="138" t="s">
        <v>257</v>
      </c>
      <c r="P267" s="200">
        <f>+J267*M267</f>
        <v>12571710</v>
      </c>
      <c r="Q267" s="17" t="s">
        <v>245</v>
      </c>
    </row>
    <row r="268" spans="1:17" ht="20.100000000000001" customHeight="1">
      <c r="A268" s="444" t="s">
        <v>270</v>
      </c>
      <c r="B268" s="440" t="s">
        <v>265</v>
      </c>
      <c r="C268" s="441"/>
      <c r="D268" s="191">
        <f>SUM(D269:D272)</f>
        <v>13700</v>
      </c>
      <c r="E268" s="191">
        <f>SUM(E269:E272)</f>
        <v>13420</v>
      </c>
      <c r="F268" s="193">
        <f>SUM(F269:F272)</f>
        <v>31393</v>
      </c>
      <c r="G268" s="194">
        <f>+E268-D268</f>
        <v>-280</v>
      </c>
      <c r="H268" s="442">
        <f>+G268/D268*100</f>
        <v>-2.0437956204379564</v>
      </c>
      <c r="I268" s="182"/>
      <c r="J268" s="126"/>
      <c r="K268" s="127"/>
      <c r="L268" s="222"/>
      <c r="M268" s="128"/>
      <c r="N268" s="128"/>
      <c r="O268" s="385"/>
      <c r="P268" s="204">
        <f>SUM(P269,P271)</f>
        <v>13420000</v>
      </c>
      <c r="Q268" s="443" t="s">
        <v>245</v>
      </c>
    </row>
    <row r="269" spans="1:17" ht="16.5" customHeight="1">
      <c r="A269" s="105"/>
      <c r="B269" s="445" t="s">
        <v>72</v>
      </c>
      <c r="C269" s="446" t="s">
        <v>195</v>
      </c>
      <c r="D269" s="148">
        <v>13000</v>
      </c>
      <c r="E269" s="148">
        <f>+P269/1000</f>
        <v>13000</v>
      </c>
      <c r="F269" s="123">
        <v>0</v>
      </c>
      <c r="G269" s="122">
        <f>+E269-D269</f>
        <v>0</v>
      </c>
      <c r="H269" s="151">
        <f>+G269/D269*100</f>
        <v>0</v>
      </c>
      <c r="I269" s="182"/>
      <c r="J269" s="126"/>
      <c r="K269" s="127"/>
      <c r="L269" s="128"/>
      <c r="M269" s="152" t="s">
        <v>253</v>
      </c>
      <c r="N269" s="152"/>
      <c r="O269" s="152"/>
      <c r="P269" s="126">
        <f>SUM(P270:P270)</f>
        <v>13000000</v>
      </c>
      <c r="Q269" s="129" t="s">
        <v>245</v>
      </c>
    </row>
    <row r="270" spans="1:17" ht="16.5" customHeight="1">
      <c r="A270" s="105"/>
      <c r="B270" s="447"/>
      <c r="C270" s="448"/>
      <c r="D270" s="159"/>
      <c r="E270" s="159"/>
      <c r="F270" s="134"/>
      <c r="G270" s="144"/>
      <c r="H270" s="162"/>
      <c r="I270" s="184" t="s">
        <v>486</v>
      </c>
      <c r="J270" s="293">
        <v>13000000</v>
      </c>
      <c r="K270" s="115" t="s">
        <v>245</v>
      </c>
      <c r="L270" s="137" t="s">
        <v>251</v>
      </c>
      <c r="M270" s="116">
        <v>1</v>
      </c>
      <c r="N270" s="116" t="s">
        <v>255</v>
      </c>
      <c r="O270" s="138" t="s">
        <v>257</v>
      </c>
      <c r="P270" s="200">
        <f>+J270*M270</f>
        <v>13000000</v>
      </c>
      <c r="Q270" s="17" t="s">
        <v>245</v>
      </c>
    </row>
    <row r="271" spans="1:17" ht="16.5" customHeight="1">
      <c r="A271" s="105"/>
      <c r="B271" s="447"/>
      <c r="C271" s="42" t="s">
        <v>202</v>
      </c>
      <c r="D271" s="148">
        <v>700</v>
      </c>
      <c r="E271" s="149">
        <f>+P271/1000</f>
        <v>420</v>
      </c>
      <c r="F271" s="150">
        <v>31393</v>
      </c>
      <c r="G271" s="122">
        <f>+E271-D271</f>
        <v>-280</v>
      </c>
      <c r="H271" s="151">
        <f>+G271/D271*100</f>
        <v>-40</v>
      </c>
      <c r="I271" s="182" t="s">
        <v>279</v>
      </c>
      <c r="J271" s="126" t="s">
        <v>279</v>
      </c>
      <c r="K271" s="127" t="s">
        <v>279</v>
      </c>
      <c r="L271" s="222"/>
      <c r="M271" s="152" t="s">
        <v>253</v>
      </c>
      <c r="N271" s="152"/>
      <c r="O271" s="152"/>
      <c r="P271" s="126">
        <f>SUM(P272:P272)</f>
        <v>420000</v>
      </c>
      <c r="Q271" s="129" t="s">
        <v>245</v>
      </c>
    </row>
    <row r="272" spans="1:17" ht="16.5" customHeight="1">
      <c r="A272" s="105"/>
      <c r="B272" s="447"/>
      <c r="C272" s="43"/>
      <c r="D272" s="153"/>
      <c r="E272" s="154"/>
      <c r="F272" s="155"/>
      <c r="G272" s="133"/>
      <c r="H272" s="156"/>
      <c r="I272" s="184" t="s">
        <v>483</v>
      </c>
      <c r="J272" s="293">
        <v>35000</v>
      </c>
      <c r="K272" s="115" t="s">
        <v>245</v>
      </c>
      <c r="L272" s="137" t="s">
        <v>251</v>
      </c>
      <c r="M272" s="116">
        <v>12</v>
      </c>
      <c r="N272" s="116" t="s">
        <v>255</v>
      </c>
      <c r="O272" s="138" t="s">
        <v>257</v>
      </c>
      <c r="P272" s="200">
        <f>+J272*M272</f>
        <v>420000</v>
      </c>
      <c r="Q272" s="17" t="s">
        <v>245</v>
      </c>
    </row>
    <row r="273" spans="1:17" ht="21.75" customHeight="1">
      <c r="A273" s="444" t="s">
        <v>252</v>
      </c>
      <c r="B273" s="449" t="s">
        <v>265</v>
      </c>
      <c r="C273" s="440"/>
      <c r="D273" s="450">
        <f>SUM(D274:D373)</f>
        <v>1966216.9099300001</v>
      </c>
      <c r="E273" s="450">
        <f t="shared" ref="E273:E293" si="8">P273/1000</f>
        <v>1961829.08993</v>
      </c>
      <c r="F273" s="451" t="e">
        <f>SUM(F274:F282,F286:F372)</f>
        <v>#VALUE!</v>
      </c>
      <c r="G273" s="452">
        <f>+E273-D273</f>
        <v>-4387.8200000000652</v>
      </c>
      <c r="H273" s="442">
        <f t="shared" ref="H273:H285" si="9">+G273/D273*100</f>
        <v>-0.22316052607625458</v>
      </c>
      <c r="I273" s="248"/>
      <c r="J273" s="249"/>
      <c r="K273" s="250"/>
      <c r="L273" s="251"/>
      <c r="M273" s="251"/>
      <c r="N273" s="251"/>
      <c r="O273" s="251"/>
      <c r="P273" s="249">
        <f>SUM(P274:P373)</f>
        <v>1961829089.9300001</v>
      </c>
      <c r="Q273" s="117" t="s">
        <v>245</v>
      </c>
    </row>
    <row r="274" spans="1:17" ht="17.45" customHeight="1">
      <c r="A274" s="105"/>
      <c r="B274" s="106" t="s">
        <v>252</v>
      </c>
      <c r="C274" s="453" t="s">
        <v>135</v>
      </c>
      <c r="D274" s="454">
        <v>45500</v>
      </c>
      <c r="E274" s="244">
        <f t="shared" si="8"/>
        <v>45500</v>
      </c>
      <c r="F274" s="455"/>
      <c r="G274" s="246">
        <f t="shared" ref="G274:G282" si="10">E274-D274</f>
        <v>0</v>
      </c>
      <c r="H274" s="247">
        <f t="shared" si="9"/>
        <v>0</v>
      </c>
      <c r="I274" s="157" t="s">
        <v>504</v>
      </c>
      <c r="J274" s="126">
        <v>9100000</v>
      </c>
      <c r="K274" s="127" t="s">
        <v>245</v>
      </c>
      <c r="L274" s="222" t="s">
        <v>251</v>
      </c>
      <c r="M274" s="128">
        <v>5</v>
      </c>
      <c r="N274" s="128" t="s">
        <v>255</v>
      </c>
      <c r="O274" s="385" t="s">
        <v>257</v>
      </c>
      <c r="P274" s="126">
        <f t="shared" ref="P274:P292" si="11">SUM(J274*M274)</f>
        <v>45500000</v>
      </c>
      <c r="Q274" s="129" t="s">
        <v>245</v>
      </c>
    </row>
    <row r="275" spans="1:17" ht="17.45" customHeight="1">
      <c r="A275" s="105"/>
      <c r="B275" s="106"/>
      <c r="C275" s="456" t="s">
        <v>394</v>
      </c>
      <c r="D275" s="454">
        <v>42000</v>
      </c>
      <c r="E275" s="244">
        <f t="shared" si="8"/>
        <v>40000</v>
      </c>
      <c r="F275" s="455"/>
      <c r="G275" s="246">
        <f t="shared" si="10"/>
        <v>-2000</v>
      </c>
      <c r="H275" s="247">
        <f t="shared" si="9"/>
        <v>-4.7619047619047619</v>
      </c>
      <c r="I275" s="157" t="s">
        <v>504</v>
      </c>
      <c r="J275" s="114">
        <v>10000000</v>
      </c>
      <c r="K275" s="115" t="s">
        <v>245</v>
      </c>
      <c r="L275" s="137" t="s">
        <v>251</v>
      </c>
      <c r="M275" s="116">
        <v>4</v>
      </c>
      <c r="N275" s="116" t="s">
        <v>255</v>
      </c>
      <c r="O275" s="138" t="s">
        <v>257</v>
      </c>
      <c r="P275" s="114">
        <f t="shared" si="11"/>
        <v>40000000</v>
      </c>
      <c r="Q275" s="17" t="s">
        <v>245</v>
      </c>
    </row>
    <row r="276" spans="1:17" ht="17.45" customHeight="1">
      <c r="A276" s="105"/>
      <c r="B276" s="106"/>
      <c r="C276" s="453" t="s">
        <v>142</v>
      </c>
      <c r="D276" s="244">
        <v>52000</v>
      </c>
      <c r="E276" s="244">
        <f t="shared" si="8"/>
        <v>52000</v>
      </c>
      <c r="F276" s="455"/>
      <c r="G276" s="246">
        <f t="shared" si="10"/>
        <v>0</v>
      </c>
      <c r="H276" s="247">
        <f t="shared" si="9"/>
        <v>0</v>
      </c>
      <c r="I276" s="157" t="s">
        <v>36</v>
      </c>
      <c r="J276" s="114">
        <v>10400000</v>
      </c>
      <c r="K276" s="115" t="s">
        <v>245</v>
      </c>
      <c r="L276" s="137" t="s">
        <v>251</v>
      </c>
      <c r="M276" s="116">
        <v>5</v>
      </c>
      <c r="N276" s="116" t="s">
        <v>255</v>
      </c>
      <c r="O276" s="138" t="s">
        <v>257</v>
      </c>
      <c r="P276" s="114">
        <f t="shared" si="11"/>
        <v>52000000</v>
      </c>
      <c r="Q276" s="17" t="s">
        <v>245</v>
      </c>
    </row>
    <row r="277" spans="1:17" ht="17.45" customHeight="1">
      <c r="A277" s="105"/>
      <c r="B277" s="119"/>
      <c r="C277" s="457" t="s">
        <v>188</v>
      </c>
      <c r="D277" s="454">
        <v>61750</v>
      </c>
      <c r="E277" s="244">
        <f t="shared" si="8"/>
        <v>61750</v>
      </c>
      <c r="F277" s="455"/>
      <c r="G277" s="246">
        <f t="shared" si="10"/>
        <v>0</v>
      </c>
      <c r="H277" s="247">
        <f t="shared" si="9"/>
        <v>0</v>
      </c>
      <c r="I277" s="157" t="s">
        <v>504</v>
      </c>
      <c r="J277" s="114">
        <v>12350000</v>
      </c>
      <c r="K277" s="115" t="s">
        <v>245</v>
      </c>
      <c r="L277" s="137" t="s">
        <v>251</v>
      </c>
      <c r="M277" s="116">
        <v>5</v>
      </c>
      <c r="N277" s="116" t="s">
        <v>255</v>
      </c>
      <c r="O277" s="138" t="s">
        <v>257</v>
      </c>
      <c r="P277" s="114">
        <f t="shared" si="11"/>
        <v>61750000</v>
      </c>
      <c r="Q277" s="17" t="s">
        <v>245</v>
      </c>
    </row>
    <row r="278" spans="1:17" ht="17.45" customHeight="1">
      <c r="A278" s="105"/>
      <c r="B278" s="119"/>
      <c r="C278" s="457" t="s">
        <v>134</v>
      </c>
      <c r="D278" s="244">
        <v>58000</v>
      </c>
      <c r="E278" s="244">
        <f t="shared" si="8"/>
        <v>58000</v>
      </c>
      <c r="F278" s="455"/>
      <c r="G278" s="246">
        <f t="shared" si="10"/>
        <v>0</v>
      </c>
      <c r="H278" s="247">
        <f t="shared" si="9"/>
        <v>0</v>
      </c>
      <c r="I278" s="172" t="s">
        <v>36</v>
      </c>
      <c r="J278" s="173">
        <v>14500000</v>
      </c>
      <c r="K278" s="14" t="s">
        <v>245</v>
      </c>
      <c r="L278" s="15" t="s">
        <v>251</v>
      </c>
      <c r="M278" s="16">
        <v>4</v>
      </c>
      <c r="N278" s="16" t="s">
        <v>255</v>
      </c>
      <c r="O278" s="178" t="s">
        <v>257</v>
      </c>
      <c r="P278" s="173">
        <f t="shared" si="11"/>
        <v>58000000</v>
      </c>
      <c r="Q278" s="175" t="s">
        <v>245</v>
      </c>
    </row>
    <row r="279" spans="1:17" ht="17.45" customHeight="1">
      <c r="A279" s="91"/>
      <c r="B279" s="106"/>
      <c r="C279" s="458" t="s">
        <v>161</v>
      </c>
      <c r="D279" s="459">
        <v>36500</v>
      </c>
      <c r="E279" s="460">
        <f t="shared" si="8"/>
        <v>36500</v>
      </c>
      <c r="F279" s="461"/>
      <c r="G279" s="302">
        <f t="shared" si="10"/>
        <v>0</v>
      </c>
      <c r="H279" s="303">
        <f t="shared" si="9"/>
        <v>0</v>
      </c>
      <c r="I279" s="157" t="s">
        <v>504</v>
      </c>
      <c r="J279" s="114">
        <v>7300000</v>
      </c>
      <c r="K279" s="115" t="s">
        <v>245</v>
      </c>
      <c r="L279" s="137" t="s">
        <v>251</v>
      </c>
      <c r="M279" s="116">
        <v>5</v>
      </c>
      <c r="N279" s="116" t="s">
        <v>255</v>
      </c>
      <c r="O279" s="138" t="s">
        <v>257</v>
      </c>
      <c r="P279" s="114">
        <f t="shared" si="11"/>
        <v>36500000</v>
      </c>
      <c r="Q279" s="17" t="s">
        <v>245</v>
      </c>
    </row>
    <row r="280" spans="1:17" ht="17.45" customHeight="1">
      <c r="A280" s="292"/>
      <c r="B280" s="106"/>
      <c r="C280" s="453" t="s">
        <v>145</v>
      </c>
      <c r="D280" s="454">
        <v>48000</v>
      </c>
      <c r="E280" s="244">
        <f t="shared" si="8"/>
        <v>45000</v>
      </c>
      <c r="F280" s="455"/>
      <c r="G280" s="246">
        <f t="shared" si="10"/>
        <v>-3000</v>
      </c>
      <c r="H280" s="247">
        <f t="shared" si="9"/>
        <v>-6.25</v>
      </c>
      <c r="I280" s="157" t="s">
        <v>504</v>
      </c>
      <c r="J280" s="114">
        <v>11250000</v>
      </c>
      <c r="K280" s="115" t="s">
        <v>245</v>
      </c>
      <c r="L280" s="137" t="s">
        <v>251</v>
      </c>
      <c r="M280" s="116">
        <v>4</v>
      </c>
      <c r="N280" s="116" t="s">
        <v>255</v>
      </c>
      <c r="O280" s="138" t="s">
        <v>257</v>
      </c>
      <c r="P280" s="114">
        <f t="shared" si="11"/>
        <v>45000000</v>
      </c>
      <c r="Q280" s="17" t="s">
        <v>245</v>
      </c>
    </row>
    <row r="281" spans="1:17" ht="17.45" customHeight="1">
      <c r="A281" s="105"/>
      <c r="B281" s="119"/>
      <c r="C281" s="458" t="s">
        <v>133</v>
      </c>
      <c r="D281" s="459">
        <v>31500</v>
      </c>
      <c r="E281" s="460">
        <f t="shared" si="8"/>
        <v>31500</v>
      </c>
      <c r="F281" s="461"/>
      <c r="G281" s="302">
        <f t="shared" si="10"/>
        <v>0</v>
      </c>
      <c r="H281" s="303">
        <f t="shared" si="9"/>
        <v>0</v>
      </c>
      <c r="I281" s="157" t="s">
        <v>504</v>
      </c>
      <c r="J281" s="114">
        <v>6300000</v>
      </c>
      <c r="K281" s="115" t="s">
        <v>245</v>
      </c>
      <c r="L281" s="137" t="s">
        <v>251</v>
      </c>
      <c r="M281" s="116">
        <v>5</v>
      </c>
      <c r="N281" s="116" t="s">
        <v>255</v>
      </c>
      <c r="O281" s="138" t="s">
        <v>257</v>
      </c>
      <c r="P281" s="114">
        <f t="shared" si="11"/>
        <v>31500000</v>
      </c>
      <c r="Q281" s="17" t="s">
        <v>245</v>
      </c>
    </row>
    <row r="282" spans="1:17" ht="18" customHeight="1">
      <c r="A282" s="105"/>
      <c r="B282" s="119"/>
      <c r="C282" s="453" t="s">
        <v>462</v>
      </c>
      <c r="D282" s="454">
        <v>60000</v>
      </c>
      <c r="E282" s="244">
        <f t="shared" si="8"/>
        <v>60000</v>
      </c>
      <c r="F282" s="455"/>
      <c r="G282" s="246">
        <f t="shared" si="10"/>
        <v>0</v>
      </c>
      <c r="H282" s="247">
        <f t="shared" si="9"/>
        <v>0</v>
      </c>
      <c r="I282" s="157" t="s">
        <v>36</v>
      </c>
      <c r="J282" s="114">
        <f>60000000/4</f>
        <v>15000000</v>
      </c>
      <c r="K282" s="115" t="s">
        <v>245</v>
      </c>
      <c r="L282" s="137" t="s">
        <v>251</v>
      </c>
      <c r="M282" s="116">
        <v>4</v>
      </c>
      <c r="N282" s="116" t="s">
        <v>255</v>
      </c>
      <c r="O282" s="138" t="s">
        <v>257</v>
      </c>
      <c r="P282" s="114">
        <f t="shared" si="11"/>
        <v>60000000</v>
      </c>
      <c r="Q282" s="17" t="s">
        <v>245</v>
      </c>
    </row>
    <row r="283" spans="1:17" ht="17.45" customHeight="1">
      <c r="A283" s="105"/>
      <c r="B283" s="119"/>
      <c r="C283" s="453" t="s">
        <v>334</v>
      </c>
      <c r="D283" s="244">
        <v>399328</v>
      </c>
      <c r="E283" s="244">
        <f t="shared" si="8"/>
        <v>399328.2</v>
      </c>
      <c r="F283" s="455"/>
      <c r="G283" s="246">
        <f>+E283-D283</f>
        <v>0.20000000001164153</v>
      </c>
      <c r="H283" s="247">
        <f t="shared" si="9"/>
        <v>5.0084141360395845E-5</v>
      </c>
      <c r="I283" s="157" t="s">
        <v>504</v>
      </c>
      <c r="J283" s="114">
        <v>66554700</v>
      </c>
      <c r="K283" s="115" t="s">
        <v>245</v>
      </c>
      <c r="L283" s="137" t="s">
        <v>251</v>
      </c>
      <c r="M283" s="116">
        <v>6</v>
      </c>
      <c r="N283" s="116" t="s">
        <v>255</v>
      </c>
      <c r="O283" s="138" t="s">
        <v>257</v>
      </c>
      <c r="P283" s="114">
        <f t="shared" si="11"/>
        <v>399328200</v>
      </c>
      <c r="Q283" s="17" t="s">
        <v>245</v>
      </c>
    </row>
    <row r="284" spans="1:17" ht="17.45" customHeight="1">
      <c r="A284" s="105"/>
      <c r="B284" s="119"/>
      <c r="C284" s="453" t="s">
        <v>116</v>
      </c>
      <c r="D284" s="454">
        <v>51500</v>
      </c>
      <c r="E284" s="244">
        <f t="shared" si="8"/>
        <v>51500</v>
      </c>
      <c r="F284" s="455"/>
      <c r="G284" s="246">
        <f>E284-D284</f>
        <v>0</v>
      </c>
      <c r="H284" s="247">
        <f t="shared" si="9"/>
        <v>0</v>
      </c>
      <c r="I284" s="157" t="s">
        <v>504</v>
      </c>
      <c r="J284" s="114">
        <v>10300000</v>
      </c>
      <c r="K284" s="115" t="s">
        <v>245</v>
      </c>
      <c r="L284" s="137" t="s">
        <v>251</v>
      </c>
      <c r="M284" s="116">
        <v>5</v>
      </c>
      <c r="N284" s="116" t="s">
        <v>255</v>
      </c>
      <c r="O284" s="138" t="s">
        <v>257</v>
      </c>
      <c r="P284" s="114">
        <f t="shared" si="11"/>
        <v>51500000</v>
      </c>
      <c r="Q284" s="17" t="s">
        <v>245</v>
      </c>
    </row>
    <row r="285" spans="1:17" ht="17.45" customHeight="1">
      <c r="A285" s="292"/>
      <c r="B285" s="106"/>
      <c r="C285" s="462" t="s">
        <v>359</v>
      </c>
      <c r="D285" s="460">
        <v>15000</v>
      </c>
      <c r="E285" s="460">
        <f t="shared" si="8"/>
        <v>15000</v>
      </c>
      <c r="F285" s="461"/>
      <c r="G285" s="302">
        <f>+E285-D285</f>
        <v>0</v>
      </c>
      <c r="H285" s="247">
        <f t="shared" si="9"/>
        <v>0</v>
      </c>
      <c r="I285" s="157" t="s">
        <v>36</v>
      </c>
      <c r="J285" s="114">
        <v>3750000</v>
      </c>
      <c r="K285" s="115" t="s">
        <v>245</v>
      </c>
      <c r="L285" s="137" t="s">
        <v>251</v>
      </c>
      <c r="M285" s="116">
        <v>4</v>
      </c>
      <c r="N285" s="116" t="s">
        <v>255</v>
      </c>
      <c r="O285" s="138" t="s">
        <v>257</v>
      </c>
      <c r="P285" s="114">
        <f t="shared" si="11"/>
        <v>15000000</v>
      </c>
      <c r="Q285" s="17" t="s">
        <v>245</v>
      </c>
    </row>
    <row r="286" spans="1:17" ht="17.45" customHeight="1">
      <c r="A286" s="105"/>
      <c r="B286" s="119"/>
      <c r="C286" s="456" t="s">
        <v>361</v>
      </c>
      <c r="D286" s="244">
        <v>28000</v>
      </c>
      <c r="E286" s="244">
        <f t="shared" si="8"/>
        <v>28000</v>
      </c>
      <c r="F286" s="455"/>
      <c r="G286" s="246">
        <f>E286-D286</f>
        <v>0</v>
      </c>
      <c r="H286" s="247">
        <f>+G286/D286*100</f>
        <v>0</v>
      </c>
      <c r="I286" s="157" t="s">
        <v>36</v>
      </c>
      <c r="J286" s="114">
        <v>7000000</v>
      </c>
      <c r="K286" s="115" t="s">
        <v>245</v>
      </c>
      <c r="L286" s="137" t="s">
        <v>251</v>
      </c>
      <c r="M286" s="116">
        <v>4</v>
      </c>
      <c r="N286" s="116" t="s">
        <v>255</v>
      </c>
      <c r="O286" s="138" t="s">
        <v>257</v>
      </c>
      <c r="P286" s="114">
        <f t="shared" si="11"/>
        <v>28000000</v>
      </c>
      <c r="Q286" s="17" t="s">
        <v>245</v>
      </c>
    </row>
    <row r="287" spans="1:17" ht="17.45" customHeight="1">
      <c r="A287" s="105"/>
      <c r="B287" s="119"/>
      <c r="C287" s="456" t="s">
        <v>402</v>
      </c>
      <c r="D287" s="244">
        <v>2000</v>
      </c>
      <c r="E287" s="244">
        <f t="shared" si="8"/>
        <v>2000</v>
      </c>
      <c r="F287" s="455"/>
      <c r="G287" s="246">
        <f>E287-D287</f>
        <v>0</v>
      </c>
      <c r="H287" s="247">
        <f>+G287/D287*100</f>
        <v>0</v>
      </c>
      <c r="I287" s="157" t="s">
        <v>36</v>
      </c>
      <c r="J287" s="114">
        <v>500000</v>
      </c>
      <c r="K287" s="115" t="s">
        <v>245</v>
      </c>
      <c r="L287" s="137" t="s">
        <v>251</v>
      </c>
      <c r="M287" s="116">
        <v>4</v>
      </c>
      <c r="N287" s="116" t="s">
        <v>255</v>
      </c>
      <c r="O287" s="138" t="s">
        <v>257</v>
      </c>
      <c r="P287" s="114">
        <f>SUM(J287*M287)</f>
        <v>2000000</v>
      </c>
      <c r="Q287" s="17" t="s">
        <v>245</v>
      </c>
    </row>
    <row r="288" spans="1:17" ht="17.45" customHeight="1">
      <c r="A288" s="292" t="s">
        <v>542</v>
      </c>
      <c r="B288" s="106" t="s">
        <v>543</v>
      </c>
      <c r="C288" s="457" t="s">
        <v>138</v>
      </c>
      <c r="D288" s="244">
        <v>21848.41</v>
      </c>
      <c r="E288" s="244">
        <f t="shared" si="8"/>
        <v>21848.41</v>
      </c>
      <c r="F288" s="455"/>
      <c r="G288" s="246">
        <f t="shared" ref="G288:G293" si="12">+E288-D288</f>
        <v>0</v>
      </c>
      <c r="H288" s="247">
        <f>+G288/D288*100</f>
        <v>0</v>
      </c>
      <c r="I288" s="157" t="s">
        <v>36</v>
      </c>
      <c r="J288" s="114">
        <v>4369682</v>
      </c>
      <c r="K288" s="115" t="s">
        <v>245</v>
      </c>
      <c r="L288" s="137" t="s">
        <v>251</v>
      </c>
      <c r="M288" s="116">
        <v>5</v>
      </c>
      <c r="N288" s="116" t="s">
        <v>255</v>
      </c>
      <c r="O288" s="138" t="s">
        <v>257</v>
      </c>
      <c r="P288" s="114">
        <f t="shared" si="11"/>
        <v>21848410</v>
      </c>
      <c r="Q288" s="17" t="s">
        <v>245</v>
      </c>
    </row>
    <row r="289" spans="1:17" ht="17.45" customHeight="1">
      <c r="A289" s="105"/>
      <c r="B289" s="119"/>
      <c r="C289" s="463" t="s">
        <v>217</v>
      </c>
      <c r="D289" s="381">
        <v>7000</v>
      </c>
      <c r="E289" s="244">
        <f t="shared" si="8"/>
        <v>7000</v>
      </c>
      <c r="F289" s="464"/>
      <c r="G289" s="246">
        <f t="shared" si="12"/>
        <v>0</v>
      </c>
      <c r="H289" s="247">
        <f>+G289/D289*100</f>
        <v>0</v>
      </c>
      <c r="I289" s="157" t="s">
        <v>504</v>
      </c>
      <c r="J289" s="114">
        <v>3500000</v>
      </c>
      <c r="K289" s="115" t="s">
        <v>245</v>
      </c>
      <c r="L289" s="137" t="s">
        <v>251</v>
      </c>
      <c r="M289" s="116">
        <v>2</v>
      </c>
      <c r="N289" s="116" t="s">
        <v>255</v>
      </c>
      <c r="O289" s="138" t="s">
        <v>257</v>
      </c>
      <c r="P289" s="114">
        <f t="shared" si="11"/>
        <v>7000000</v>
      </c>
      <c r="Q289" s="17" t="s">
        <v>245</v>
      </c>
    </row>
    <row r="290" spans="1:17" ht="17.45" customHeight="1">
      <c r="A290" s="105"/>
      <c r="B290" s="119"/>
      <c r="C290" s="463" t="s">
        <v>170</v>
      </c>
      <c r="D290" s="381">
        <v>2400</v>
      </c>
      <c r="E290" s="244">
        <f t="shared" si="8"/>
        <v>2400</v>
      </c>
      <c r="F290" s="464"/>
      <c r="G290" s="246">
        <f t="shared" si="12"/>
        <v>0</v>
      </c>
      <c r="H290" s="247">
        <f>+G290/D290*100</f>
        <v>0</v>
      </c>
      <c r="I290" s="157" t="s">
        <v>36</v>
      </c>
      <c r="J290" s="114">
        <v>2400000</v>
      </c>
      <c r="K290" s="115" t="s">
        <v>245</v>
      </c>
      <c r="L290" s="137" t="s">
        <v>251</v>
      </c>
      <c r="M290" s="116">
        <v>1</v>
      </c>
      <c r="N290" s="116" t="s">
        <v>255</v>
      </c>
      <c r="O290" s="138" t="s">
        <v>257</v>
      </c>
      <c r="P290" s="114">
        <f t="shared" si="11"/>
        <v>2400000</v>
      </c>
      <c r="Q290" s="17" t="s">
        <v>245</v>
      </c>
    </row>
    <row r="291" spans="1:17" ht="17.45" customHeight="1">
      <c r="A291" s="105"/>
      <c r="B291" s="119"/>
      <c r="C291" s="457" t="s">
        <v>179</v>
      </c>
      <c r="D291" s="244">
        <v>3300</v>
      </c>
      <c r="E291" s="244">
        <f t="shared" si="8"/>
        <v>3300</v>
      </c>
      <c r="F291" s="455"/>
      <c r="G291" s="246">
        <f t="shared" si="12"/>
        <v>0</v>
      </c>
      <c r="H291" s="247">
        <f>G291/D291*100</f>
        <v>0</v>
      </c>
      <c r="I291" s="157" t="s">
        <v>36</v>
      </c>
      <c r="J291" s="114">
        <v>3300000</v>
      </c>
      <c r="K291" s="115" t="s">
        <v>245</v>
      </c>
      <c r="L291" s="137" t="s">
        <v>251</v>
      </c>
      <c r="M291" s="116">
        <v>1</v>
      </c>
      <c r="N291" s="116" t="s">
        <v>255</v>
      </c>
      <c r="O291" s="138" t="s">
        <v>257</v>
      </c>
      <c r="P291" s="114">
        <f t="shared" si="11"/>
        <v>3300000</v>
      </c>
      <c r="Q291" s="17" t="s">
        <v>245</v>
      </c>
    </row>
    <row r="292" spans="1:17" ht="17.45" customHeight="1">
      <c r="A292" s="292"/>
      <c r="B292" s="106"/>
      <c r="C292" s="465" t="s">
        <v>208</v>
      </c>
      <c r="D292" s="416">
        <v>2450</v>
      </c>
      <c r="E292" s="460">
        <f t="shared" si="8"/>
        <v>2450</v>
      </c>
      <c r="F292" s="416" t="e">
        <f>Q292/1000</f>
        <v>#VALUE!</v>
      </c>
      <c r="G292" s="302">
        <f t="shared" si="12"/>
        <v>0</v>
      </c>
      <c r="H292" s="303">
        <f>G292/D292*100</f>
        <v>0</v>
      </c>
      <c r="I292" s="157" t="s">
        <v>504</v>
      </c>
      <c r="J292" s="114">
        <v>1225000</v>
      </c>
      <c r="K292" s="115" t="s">
        <v>245</v>
      </c>
      <c r="L292" s="137" t="s">
        <v>251</v>
      </c>
      <c r="M292" s="116">
        <v>2</v>
      </c>
      <c r="N292" s="116" t="s">
        <v>255</v>
      </c>
      <c r="O292" s="138" t="s">
        <v>257</v>
      </c>
      <c r="P292" s="114">
        <f t="shared" si="11"/>
        <v>2450000</v>
      </c>
      <c r="Q292" s="17" t="s">
        <v>245</v>
      </c>
    </row>
    <row r="293" spans="1:17" ht="17.45" customHeight="1">
      <c r="A293" s="105"/>
      <c r="B293" s="119"/>
      <c r="C293" s="463" t="s">
        <v>159</v>
      </c>
      <c r="D293" s="381">
        <v>6572</v>
      </c>
      <c r="E293" s="244">
        <f t="shared" si="8"/>
        <v>6572</v>
      </c>
      <c r="F293" s="381"/>
      <c r="G293" s="246">
        <f t="shared" si="12"/>
        <v>0</v>
      </c>
      <c r="H293" s="247">
        <f>G293/D293*100</f>
        <v>0</v>
      </c>
      <c r="I293" s="157" t="s">
        <v>504</v>
      </c>
      <c r="J293" s="114">
        <v>3286000</v>
      </c>
      <c r="K293" s="115" t="s">
        <v>245</v>
      </c>
      <c r="L293" s="137" t="s">
        <v>251</v>
      </c>
      <c r="M293" s="116">
        <v>2</v>
      </c>
      <c r="N293" s="116" t="s">
        <v>255</v>
      </c>
      <c r="O293" s="138" t="s">
        <v>257</v>
      </c>
      <c r="P293" s="114">
        <f>SUM(J293*M293)</f>
        <v>6572000</v>
      </c>
      <c r="Q293" s="17" t="s">
        <v>245</v>
      </c>
    </row>
    <row r="294" spans="1:17" ht="17.45" customHeight="1">
      <c r="A294" s="369"/>
      <c r="B294" s="370"/>
      <c r="C294" s="457" t="s">
        <v>370</v>
      </c>
      <c r="D294" s="381">
        <v>4154</v>
      </c>
      <c r="E294" s="244">
        <f t="shared" ref="E294:E301" si="13">P294/1000</f>
        <v>4154</v>
      </c>
      <c r="F294" s="455"/>
      <c r="G294" s="246">
        <f t="shared" ref="G294:G301" si="14">+E294-D294</f>
        <v>0</v>
      </c>
      <c r="H294" s="247">
        <f>G294/D294*100</f>
        <v>0</v>
      </c>
      <c r="I294" s="157" t="s">
        <v>504</v>
      </c>
      <c r="J294" s="114">
        <v>2077000</v>
      </c>
      <c r="K294" s="115" t="s">
        <v>245</v>
      </c>
      <c r="L294" s="137" t="s">
        <v>251</v>
      </c>
      <c r="M294" s="116">
        <v>2</v>
      </c>
      <c r="N294" s="116" t="s">
        <v>255</v>
      </c>
      <c r="O294" s="138" t="s">
        <v>257</v>
      </c>
      <c r="P294" s="114">
        <f t="shared" ref="P294:P300" si="15">SUM(J294*M294)</f>
        <v>4154000</v>
      </c>
      <c r="Q294" s="17" t="s">
        <v>245</v>
      </c>
    </row>
    <row r="295" spans="1:17" ht="17.45" customHeight="1">
      <c r="A295" s="105"/>
      <c r="B295" s="119"/>
      <c r="C295" s="465" t="s">
        <v>205</v>
      </c>
      <c r="D295" s="381">
        <v>2100</v>
      </c>
      <c r="E295" s="460">
        <f t="shared" si="13"/>
        <v>2100</v>
      </c>
      <c r="F295" s="466"/>
      <c r="G295" s="302">
        <f t="shared" si="14"/>
        <v>0</v>
      </c>
      <c r="H295" s="303">
        <f>+G295/D295*100</f>
        <v>0</v>
      </c>
      <c r="I295" s="157" t="s">
        <v>36</v>
      </c>
      <c r="J295" s="114">
        <v>2100000</v>
      </c>
      <c r="K295" s="115" t="s">
        <v>245</v>
      </c>
      <c r="L295" s="137" t="s">
        <v>251</v>
      </c>
      <c r="M295" s="116">
        <v>1</v>
      </c>
      <c r="N295" s="116" t="s">
        <v>255</v>
      </c>
      <c r="O295" s="138" t="s">
        <v>257</v>
      </c>
      <c r="P295" s="114">
        <f t="shared" si="15"/>
        <v>2100000</v>
      </c>
      <c r="Q295" s="17" t="s">
        <v>245</v>
      </c>
    </row>
    <row r="296" spans="1:17" ht="17.45" customHeight="1">
      <c r="A296" s="105"/>
      <c r="B296" s="119"/>
      <c r="C296" s="467" t="s">
        <v>376</v>
      </c>
      <c r="D296" s="381">
        <v>11428.5</v>
      </c>
      <c r="E296" s="244">
        <f t="shared" si="13"/>
        <v>11428.5</v>
      </c>
      <c r="F296" s="464"/>
      <c r="G296" s="246">
        <f t="shared" si="14"/>
        <v>0</v>
      </c>
      <c r="H296" s="303">
        <f>+G296/D296*100</f>
        <v>0</v>
      </c>
      <c r="I296" s="157" t="s">
        <v>504</v>
      </c>
      <c r="J296" s="114">
        <v>5714250</v>
      </c>
      <c r="K296" s="115" t="s">
        <v>245</v>
      </c>
      <c r="L296" s="137" t="s">
        <v>251</v>
      </c>
      <c r="M296" s="116">
        <v>2</v>
      </c>
      <c r="N296" s="116" t="s">
        <v>255</v>
      </c>
      <c r="O296" s="138" t="s">
        <v>257</v>
      </c>
      <c r="P296" s="114">
        <f t="shared" si="15"/>
        <v>11428500</v>
      </c>
      <c r="Q296" s="17" t="s">
        <v>245</v>
      </c>
    </row>
    <row r="297" spans="1:17" ht="17.45" customHeight="1">
      <c r="A297" s="105"/>
      <c r="B297" s="119"/>
      <c r="C297" s="463" t="s">
        <v>177</v>
      </c>
      <c r="D297" s="381">
        <v>2700</v>
      </c>
      <c r="E297" s="244">
        <f t="shared" si="13"/>
        <v>2700</v>
      </c>
      <c r="F297" s="455"/>
      <c r="G297" s="246">
        <f t="shared" si="14"/>
        <v>0</v>
      </c>
      <c r="H297" s="303">
        <f>+G297/D297*100</f>
        <v>0</v>
      </c>
      <c r="I297" s="157" t="s">
        <v>36</v>
      </c>
      <c r="J297" s="114">
        <v>2700000</v>
      </c>
      <c r="K297" s="115" t="s">
        <v>245</v>
      </c>
      <c r="L297" s="137" t="s">
        <v>251</v>
      </c>
      <c r="M297" s="116">
        <v>1</v>
      </c>
      <c r="N297" s="116" t="s">
        <v>255</v>
      </c>
      <c r="O297" s="138" t="s">
        <v>257</v>
      </c>
      <c r="P297" s="114">
        <f t="shared" si="15"/>
        <v>2700000</v>
      </c>
      <c r="Q297" s="17" t="s">
        <v>245</v>
      </c>
    </row>
    <row r="298" spans="1:17" ht="17.45" customHeight="1">
      <c r="A298" s="105"/>
      <c r="B298" s="119"/>
      <c r="C298" s="463" t="s">
        <v>219</v>
      </c>
      <c r="D298" s="381">
        <v>2400</v>
      </c>
      <c r="E298" s="244">
        <f t="shared" si="13"/>
        <v>2400</v>
      </c>
      <c r="F298" s="464"/>
      <c r="G298" s="246">
        <f t="shared" si="14"/>
        <v>0</v>
      </c>
      <c r="H298" s="303">
        <f>+G298/D298*100</f>
        <v>0</v>
      </c>
      <c r="I298" s="157" t="s">
        <v>36</v>
      </c>
      <c r="J298" s="114">
        <v>2400000</v>
      </c>
      <c r="K298" s="115" t="s">
        <v>245</v>
      </c>
      <c r="L298" s="137" t="s">
        <v>251</v>
      </c>
      <c r="M298" s="116">
        <v>1</v>
      </c>
      <c r="N298" s="116" t="s">
        <v>255</v>
      </c>
      <c r="O298" s="138" t="s">
        <v>257</v>
      </c>
      <c r="P298" s="114">
        <f t="shared" si="15"/>
        <v>2400000</v>
      </c>
      <c r="Q298" s="17" t="s">
        <v>245</v>
      </c>
    </row>
    <row r="299" spans="1:17" ht="17.45" customHeight="1">
      <c r="A299" s="105"/>
      <c r="B299" s="119"/>
      <c r="C299" s="463" t="s">
        <v>199</v>
      </c>
      <c r="D299" s="381">
        <v>4700</v>
      </c>
      <c r="E299" s="244">
        <f t="shared" si="13"/>
        <v>4700</v>
      </c>
      <c r="F299" s="464"/>
      <c r="G299" s="246">
        <f t="shared" si="14"/>
        <v>0</v>
      </c>
      <c r="H299" s="247">
        <f>G299/D299*100</f>
        <v>0</v>
      </c>
      <c r="I299" s="157" t="s">
        <v>504</v>
      </c>
      <c r="J299" s="114">
        <v>2350000</v>
      </c>
      <c r="K299" s="115" t="s">
        <v>245</v>
      </c>
      <c r="L299" s="137" t="s">
        <v>251</v>
      </c>
      <c r="M299" s="116">
        <v>2</v>
      </c>
      <c r="N299" s="116" t="s">
        <v>255</v>
      </c>
      <c r="O299" s="138" t="s">
        <v>257</v>
      </c>
      <c r="P299" s="114">
        <f t="shared" si="15"/>
        <v>4700000</v>
      </c>
      <c r="Q299" s="17" t="s">
        <v>245</v>
      </c>
    </row>
    <row r="300" spans="1:17" ht="17.45" customHeight="1">
      <c r="A300" s="105"/>
      <c r="B300" s="119"/>
      <c r="C300" s="457" t="s">
        <v>182</v>
      </c>
      <c r="D300" s="381">
        <v>5448.41</v>
      </c>
      <c r="E300" s="244">
        <f t="shared" si="13"/>
        <v>5448.41</v>
      </c>
      <c r="F300" s="455"/>
      <c r="G300" s="246">
        <f t="shared" si="14"/>
        <v>0</v>
      </c>
      <c r="H300" s="247">
        <f>G300/D300*100</f>
        <v>0</v>
      </c>
      <c r="I300" s="157" t="s">
        <v>36</v>
      </c>
      <c r="J300" s="114">
        <v>2724205</v>
      </c>
      <c r="K300" s="115" t="s">
        <v>245</v>
      </c>
      <c r="L300" s="137" t="s">
        <v>251</v>
      </c>
      <c r="M300" s="116">
        <v>2</v>
      </c>
      <c r="N300" s="116" t="s">
        <v>255</v>
      </c>
      <c r="O300" s="138" t="s">
        <v>257</v>
      </c>
      <c r="P300" s="114">
        <f t="shared" si="15"/>
        <v>5448410</v>
      </c>
      <c r="Q300" s="17" t="s">
        <v>245</v>
      </c>
    </row>
    <row r="301" spans="1:17" ht="17.45" customHeight="1">
      <c r="A301" s="105"/>
      <c r="B301" s="119"/>
      <c r="C301" s="462" t="s">
        <v>397</v>
      </c>
      <c r="D301" s="381">
        <v>3600</v>
      </c>
      <c r="E301" s="244">
        <f t="shared" si="13"/>
        <v>3600</v>
      </c>
      <c r="F301" s="461"/>
      <c r="G301" s="246">
        <f t="shared" si="14"/>
        <v>0</v>
      </c>
      <c r="H301" s="247">
        <f>G301/D301*100</f>
        <v>0</v>
      </c>
      <c r="I301" s="157" t="s">
        <v>36</v>
      </c>
      <c r="J301" s="114">
        <v>3600000</v>
      </c>
      <c r="K301" s="115" t="s">
        <v>245</v>
      </c>
      <c r="L301" s="137" t="s">
        <v>251</v>
      </c>
      <c r="M301" s="116">
        <v>1</v>
      </c>
      <c r="N301" s="116" t="s">
        <v>255</v>
      </c>
      <c r="O301" s="138" t="s">
        <v>257</v>
      </c>
      <c r="P301" s="114">
        <f>SUM(J301*M301)</f>
        <v>3600000</v>
      </c>
      <c r="Q301" s="17" t="s">
        <v>245</v>
      </c>
    </row>
    <row r="302" spans="1:17" ht="17.45" customHeight="1">
      <c r="A302" s="105"/>
      <c r="B302" s="119"/>
      <c r="C302" s="456" t="s">
        <v>381</v>
      </c>
      <c r="D302" s="244">
        <v>5000</v>
      </c>
      <c r="E302" s="244">
        <f t="shared" ref="E302:E321" si="16">P302/1000</f>
        <v>5000</v>
      </c>
      <c r="F302" s="455"/>
      <c r="G302" s="246">
        <f t="shared" ref="G302:G324" si="17">+E302-D302</f>
        <v>0</v>
      </c>
      <c r="H302" s="247">
        <f t="shared" ref="H302:H321" si="18">+G302/D302*100</f>
        <v>0</v>
      </c>
      <c r="I302" s="157" t="s">
        <v>36</v>
      </c>
      <c r="J302" s="114">
        <v>5000000</v>
      </c>
      <c r="K302" s="115" t="s">
        <v>245</v>
      </c>
      <c r="L302" s="137" t="s">
        <v>251</v>
      </c>
      <c r="M302" s="116">
        <v>1</v>
      </c>
      <c r="N302" s="116" t="s">
        <v>255</v>
      </c>
      <c r="O302" s="138" t="s">
        <v>257</v>
      </c>
      <c r="P302" s="114">
        <f>SUM(J302*M302)</f>
        <v>5000000</v>
      </c>
      <c r="Q302" s="17" t="s">
        <v>245</v>
      </c>
    </row>
    <row r="303" spans="1:17" ht="17.45" customHeight="1">
      <c r="A303" s="105"/>
      <c r="B303" s="119"/>
      <c r="C303" s="453" t="s">
        <v>95</v>
      </c>
      <c r="D303" s="244">
        <v>5000</v>
      </c>
      <c r="E303" s="244">
        <f t="shared" si="16"/>
        <v>5000</v>
      </c>
      <c r="F303" s="455"/>
      <c r="G303" s="246">
        <f t="shared" si="17"/>
        <v>0</v>
      </c>
      <c r="H303" s="247">
        <f t="shared" si="18"/>
        <v>0</v>
      </c>
      <c r="I303" s="157" t="s">
        <v>36</v>
      </c>
      <c r="J303" s="114">
        <v>5000000</v>
      </c>
      <c r="K303" s="115" t="s">
        <v>245</v>
      </c>
      <c r="L303" s="137" t="s">
        <v>251</v>
      </c>
      <c r="M303" s="116">
        <v>1</v>
      </c>
      <c r="N303" s="116" t="s">
        <v>255</v>
      </c>
      <c r="O303" s="138" t="s">
        <v>257</v>
      </c>
      <c r="P303" s="114">
        <f t="shared" ref="P303:P323" si="19">SUM(J303*M303)</f>
        <v>5000000</v>
      </c>
      <c r="Q303" s="17" t="s">
        <v>245</v>
      </c>
    </row>
    <row r="304" spans="1:17" ht="17.45" customHeight="1">
      <c r="A304" s="105"/>
      <c r="B304" s="119"/>
      <c r="C304" s="453" t="s">
        <v>446</v>
      </c>
      <c r="D304" s="244">
        <v>6000</v>
      </c>
      <c r="E304" s="244">
        <f t="shared" si="16"/>
        <v>6000</v>
      </c>
      <c r="F304" s="455"/>
      <c r="G304" s="246">
        <f t="shared" si="17"/>
        <v>0</v>
      </c>
      <c r="H304" s="247">
        <f t="shared" si="18"/>
        <v>0</v>
      </c>
      <c r="I304" s="157" t="s">
        <v>504</v>
      </c>
      <c r="J304" s="114">
        <v>3000000</v>
      </c>
      <c r="K304" s="115" t="s">
        <v>245</v>
      </c>
      <c r="L304" s="137" t="s">
        <v>251</v>
      </c>
      <c r="M304" s="116">
        <v>2</v>
      </c>
      <c r="N304" s="116" t="s">
        <v>255</v>
      </c>
      <c r="O304" s="138" t="s">
        <v>257</v>
      </c>
      <c r="P304" s="114">
        <f t="shared" si="19"/>
        <v>6000000</v>
      </c>
      <c r="Q304" s="17" t="s">
        <v>245</v>
      </c>
    </row>
    <row r="305" spans="1:17" ht="17.45" customHeight="1">
      <c r="A305" s="105"/>
      <c r="B305" s="119"/>
      <c r="C305" s="453" t="s">
        <v>125</v>
      </c>
      <c r="D305" s="244">
        <v>2400</v>
      </c>
      <c r="E305" s="244">
        <f t="shared" si="16"/>
        <v>2400</v>
      </c>
      <c r="F305" s="455"/>
      <c r="G305" s="246">
        <f t="shared" si="17"/>
        <v>0</v>
      </c>
      <c r="H305" s="247">
        <f t="shared" si="18"/>
        <v>0</v>
      </c>
      <c r="I305" s="157" t="s">
        <v>36</v>
      </c>
      <c r="J305" s="114">
        <v>2400000</v>
      </c>
      <c r="K305" s="115" t="s">
        <v>245</v>
      </c>
      <c r="L305" s="137" t="s">
        <v>251</v>
      </c>
      <c r="M305" s="116">
        <v>1</v>
      </c>
      <c r="N305" s="116" t="s">
        <v>255</v>
      </c>
      <c r="O305" s="138" t="s">
        <v>257</v>
      </c>
      <c r="P305" s="114">
        <f t="shared" si="19"/>
        <v>2400000</v>
      </c>
      <c r="Q305" s="17" t="s">
        <v>245</v>
      </c>
    </row>
    <row r="306" spans="1:17" ht="17.45" customHeight="1">
      <c r="A306" s="105"/>
      <c r="B306" s="119"/>
      <c r="C306" s="453" t="s">
        <v>109</v>
      </c>
      <c r="D306" s="244">
        <v>5000</v>
      </c>
      <c r="E306" s="244">
        <f t="shared" si="16"/>
        <v>5000</v>
      </c>
      <c r="F306" s="455"/>
      <c r="G306" s="246">
        <f t="shared" si="17"/>
        <v>0</v>
      </c>
      <c r="H306" s="247">
        <f t="shared" si="18"/>
        <v>0</v>
      </c>
      <c r="I306" s="157" t="s">
        <v>36</v>
      </c>
      <c r="J306" s="114">
        <v>5000000</v>
      </c>
      <c r="K306" s="115" t="s">
        <v>245</v>
      </c>
      <c r="L306" s="137" t="s">
        <v>251</v>
      </c>
      <c r="M306" s="116">
        <v>1</v>
      </c>
      <c r="N306" s="116" t="s">
        <v>255</v>
      </c>
      <c r="O306" s="138" t="s">
        <v>257</v>
      </c>
      <c r="P306" s="114">
        <f t="shared" si="19"/>
        <v>5000000</v>
      </c>
      <c r="Q306" s="17" t="s">
        <v>245</v>
      </c>
    </row>
    <row r="307" spans="1:17" ht="17.45" customHeight="1">
      <c r="A307" s="105"/>
      <c r="B307" s="119"/>
      <c r="C307" s="453" t="s">
        <v>130</v>
      </c>
      <c r="D307" s="244">
        <v>6430</v>
      </c>
      <c r="E307" s="244">
        <f t="shared" si="16"/>
        <v>6430</v>
      </c>
      <c r="F307" s="455"/>
      <c r="G307" s="246">
        <f t="shared" si="17"/>
        <v>0</v>
      </c>
      <c r="H307" s="247">
        <f t="shared" si="18"/>
        <v>0</v>
      </c>
      <c r="I307" s="157" t="s">
        <v>504</v>
      </c>
      <c r="J307" s="114">
        <v>3215000</v>
      </c>
      <c r="K307" s="115" t="s">
        <v>245</v>
      </c>
      <c r="L307" s="137" t="s">
        <v>251</v>
      </c>
      <c r="M307" s="116">
        <v>2</v>
      </c>
      <c r="N307" s="116" t="s">
        <v>255</v>
      </c>
      <c r="O307" s="138" t="s">
        <v>257</v>
      </c>
      <c r="P307" s="114">
        <f t="shared" si="19"/>
        <v>6430000</v>
      </c>
      <c r="Q307" s="17" t="s">
        <v>245</v>
      </c>
    </row>
    <row r="308" spans="1:17" ht="17.45" customHeight="1">
      <c r="A308" s="105"/>
      <c r="B308" s="119"/>
      <c r="C308" s="468" t="s">
        <v>443</v>
      </c>
      <c r="D308" s="244">
        <v>84999.999980000008</v>
      </c>
      <c r="E308" s="244">
        <f t="shared" si="16"/>
        <v>84999.999980000008</v>
      </c>
      <c r="F308" s="455"/>
      <c r="G308" s="246">
        <f t="shared" si="17"/>
        <v>0</v>
      </c>
      <c r="H308" s="247">
        <f t="shared" si="18"/>
        <v>0</v>
      </c>
      <c r="I308" s="157" t="s">
        <v>504</v>
      </c>
      <c r="J308" s="114">
        <v>6071428.5700000003</v>
      </c>
      <c r="K308" s="115" t="s">
        <v>245</v>
      </c>
      <c r="L308" s="137" t="s">
        <v>251</v>
      </c>
      <c r="M308" s="116">
        <v>14</v>
      </c>
      <c r="N308" s="116" t="s">
        <v>255</v>
      </c>
      <c r="O308" s="138" t="s">
        <v>257</v>
      </c>
      <c r="P308" s="114">
        <f t="shared" si="19"/>
        <v>84999999.980000004</v>
      </c>
      <c r="Q308" s="17" t="s">
        <v>245</v>
      </c>
    </row>
    <row r="309" spans="1:17" ht="17.45" customHeight="1">
      <c r="A309" s="292"/>
      <c r="B309" s="106"/>
      <c r="C309" s="458" t="s">
        <v>87</v>
      </c>
      <c r="D309" s="460">
        <v>3300</v>
      </c>
      <c r="E309" s="460">
        <f t="shared" si="16"/>
        <v>3300</v>
      </c>
      <c r="F309" s="461"/>
      <c r="G309" s="302">
        <f t="shared" si="17"/>
        <v>0</v>
      </c>
      <c r="H309" s="303">
        <f t="shared" si="18"/>
        <v>0</v>
      </c>
      <c r="I309" s="157" t="s">
        <v>36</v>
      </c>
      <c r="J309" s="114">
        <v>3300000</v>
      </c>
      <c r="K309" s="115" t="s">
        <v>245</v>
      </c>
      <c r="L309" s="137" t="s">
        <v>251</v>
      </c>
      <c r="M309" s="116">
        <v>1</v>
      </c>
      <c r="N309" s="116" t="s">
        <v>255</v>
      </c>
      <c r="O309" s="138" t="s">
        <v>257</v>
      </c>
      <c r="P309" s="114">
        <f t="shared" si="19"/>
        <v>3300000</v>
      </c>
      <c r="Q309" s="17" t="s">
        <v>245</v>
      </c>
    </row>
    <row r="310" spans="1:17" ht="17.45" customHeight="1">
      <c r="A310" s="292"/>
      <c r="B310" s="106"/>
      <c r="C310" s="453" t="s">
        <v>186</v>
      </c>
      <c r="D310" s="244">
        <v>5000</v>
      </c>
      <c r="E310" s="244">
        <f t="shared" si="16"/>
        <v>5000</v>
      </c>
      <c r="F310" s="244" t="e">
        <f>Q310/1000</f>
        <v>#VALUE!</v>
      </c>
      <c r="G310" s="246">
        <f t="shared" si="17"/>
        <v>0</v>
      </c>
      <c r="H310" s="247">
        <f t="shared" si="18"/>
        <v>0</v>
      </c>
      <c r="I310" s="157" t="s">
        <v>36</v>
      </c>
      <c r="J310" s="114">
        <v>5000000</v>
      </c>
      <c r="K310" s="115" t="s">
        <v>245</v>
      </c>
      <c r="L310" s="137" t="s">
        <v>251</v>
      </c>
      <c r="M310" s="116">
        <v>1</v>
      </c>
      <c r="N310" s="116" t="s">
        <v>255</v>
      </c>
      <c r="O310" s="138" t="s">
        <v>257</v>
      </c>
      <c r="P310" s="114">
        <f t="shared" si="19"/>
        <v>5000000</v>
      </c>
      <c r="Q310" s="17" t="s">
        <v>245</v>
      </c>
    </row>
    <row r="311" spans="1:17" ht="17.45" customHeight="1">
      <c r="A311" s="292"/>
      <c r="B311" s="106"/>
      <c r="C311" s="469" t="s">
        <v>456</v>
      </c>
      <c r="D311" s="460">
        <v>8000</v>
      </c>
      <c r="E311" s="460">
        <f t="shared" si="16"/>
        <v>8000</v>
      </c>
      <c r="F311" s="461"/>
      <c r="G311" s="302">
        <f t="shared" si="17"/>
        <v>0</v>
      </c>
      <c r="H311" s="303">
        <f t="shared" si="18"/>
        <v>0</v>
      </c>
      <c r="I311" s="157" t="s">
        <v>504</v>
      </c>
      <c r="J311" s="114">
        <v>4000000</v>
      </c>
      <c r="K311" s="115" t="s">
        <v>245</v>
      </c>
      <c r="L311" s="137" t="s">
        <v>251</v>
      </c>
      <c r="M311" s="116">
        <v>2</v>
      </c>
      <c r="N311" s="116" t="s">
        <v>255</v>
      </c>
      <c r="O311" s="138" t="s">
        <v>257</v>
      </c>
      <c r="P311" s="114">
        <f t="shared" si="19"/>
        <v>8000000</v>
      </c>
      <c r="Q311" s="17" t="s">
        <v>245</v>
      </c>
    </row>
    <row r="312" spans="1:17" ht="17.45" customHeight="1">
      <c r="A312" s="105"/>
      <c r="B312" s="119"/>
      <c r="C312" s="456" t="s">
        <v>338</v>
      </c>
      <c r="D312" s="244">
        <v>3000</v>
      </c>
      <c r="E312" s="244">
        <f t="shared" si="16"/>
        <v>3000</v>
      </c>
      <c r="F312" s="455"/>
      <c r="G312" s="246">
        <f t="shared" si="17"/>
        <v>0</v>
      </c>
      <c r="H312" s="247">
        <f t="shared" si="18"/>
        <v>0</v>
      </c>
      <c r="I312" s="157" t="s">
        <v>36</v>
      </c>
      <c r="J312" s="114">
        <v>3000000</v>
      </c>
      <c r="K312" s="115" t="s">
        <v>245</v>
      </c>
      <c r="L312" s="137" t="s">
        <v>251</v>
      </c>
      <c r="M312" s="116">
        <v>1</v>
      </c>
      <c r="N312" s="116" t="s">
        <v>255</v>
      </c>
      <c r="O312" s="138" t="s">
        <v>257</v>
      </c>
      <c r="P312" s="114">
        <f t="shared" si="19"/>
        <v>3000000</v>
      </c>
      <c r="Q312" s="17" t="s">
        <v>245</v>
      </c>
    </row>
    <row r="313" spans="1:17" ht="17.45" customHeight="1">
      <c r="A313" s="292"/>
      <c r="B313" s="106"/>
      <c r="C313" s="470" t="s">
        <v>110</v>
      </c>
      <c r="D313" s="460">
        <v>8000</v>
      </c>
      <c r="E313" s="460">
        <f t="shared" si="16"/>
        <v>8000</v>
      </c>
      <c r="F313" s="461"/>
      <c r="G313" s="302">
        <f t="shared" si="17"/>
        <v>0</v>
      </c>
      <c r="H313" s="303">
        <f t="shared" si="18"/>
        <v>0</v>
      </c>
      <c r="I313" s="157" t="s">
        <v>504</v>
      </c>
      <c r="J313" s="114">
        <v>4000000</v>
      </c>
      <c r="K313" s="115" t="s">
        <v>245</v>
      </c>
      <c r="L313" s="137" t="s">
        <v>251</v>
      </c>
      <c r="M313" s="116">
        <v>2</v>
      </c>
      <c r="N313" s="116" t="s">
        <v>255</v>
      </c>
      <c r="O313" s="138" t="s">
        <v>257</v>
      </c>
      <c r="P313" s="114">
        <f t="shared" si="19"/>
        <v>8000000</v>
      </c>
      <c r="Q313" s="17" t="s">
        <v>245</v>
      </c>
    </row>
    <row r="314" spans="1:17" ht="17.45" customHeight="1">
      <c r="A314" s="105"/>
      <c r="B314" s="119"/>
      <c r="C314" s="453" t="s">
        <v>358</v>
      </c>
      <c r="D314" s="244">
        <v>4800</v>
      </c>
      <c r="E314" s="244">
        <f t="shared" si="16"/>
        <v>4800</v>
      </c>
      <c r="F314" s="455"/>
      <c r="G314" s="246">
        <f t="shared" si="17"/>
        <v>0</v>
      </c>
      <c r="H314" s="247">
        <f t="shared" si="18"/>
        <v>0</v>
      </c>
      <c r="I314" s="157" t="s">
        <v>36</v>
      </c>
      <c r="J314" s="114">
        <v>4800000</v>
      </c>
      <c r="K314" s="115" t="s">
        <v>245</v>
      </c>
      <c r="L314" s="137" t="s">
        <v>251</v>
      </c>
      <c r="M314" s="116">
        <v>1</v>
      </c>
      <c r="N314" s="116" t="s">
        <v>255</v>
      </c>
      <c r="O314" s="138" t="s">
        <v>257</v>
      </c>
      <c r="P314" s="114">
        <f t="shared" si="19"/>
        <v>4800000</v>
      </c>
      <c r="Q314" s="17" t="s">
        <v>245</v>
      </c>
    </row>
    <row r="315" spans="1:17" ht="17.45" customHeight="1">
      <c r="A315" s="369"/>
      <c r="B315" s="370"/>
      <c r="C315" s="457" t="s">
        <v>115</v>
      </c>
      <c r="D315" s="244">
        <v>4800</v>
      </c>
      <c r="E315" s="244">
        <f t="shared" si="16"/>
        <v>4800</v>
      </c>
      <c r="F315" s="455"/>
      <c r="G315" s="246">
        <f t="shared" si="17"/>
        <v>0</v>
      </c>
      <c r="H315" s="247">
        <f t="shared" si="18"/>
        <v>0</v>
      </c>
      <c r="I315" s="157" t="s">
        <v>36</v>
      </c>
      <c r="J315" s="114">
        <v>4800000</v>
      </c>
      <c r="K315" s="115" t="s">
        <v>245</v>
      </c>
      <c r="L315" s="137" t="s">
        <v>251</v>
      </c>
      <c r="M315" s="116">
        <v>1</v>
      </c>
      <c r="N315" s="116" t="s">
        <v>255</v>
      </c>
      <c r="O315" s="138" t="s">
        <v>257</v>
      </c>
      <c r="P315" s="114">
        <f t="shared" si="19"/>
        <v>4800000</v>
      </c>
      <c r="Q315" s="17" t="s">
        <v>245</v>
      </c>
    </row>
    <row r="316" spans="1:17" ht="17.45" customHeight="1">
      <c r="A316" s="105"/>
      <c r="B316" s="119"/>
      <c r="C316" s="456" t="s">
        <v>496</v>
      </c>
      <c r="D316" s="244">
        <v>3000</v>
      </c>
      <c r="E316" s="244">
        <f t="shared" si="16"/>
        <v>3000</v>
      </c>
      <c r="F316" s="455"/>
      <c r="G316" s="246">
        <f t="shared" si="17"/>
        <v>0</v>
      </c>
      <c r="H316" s="247">
        <f t="shared" si="18"/>
        <v>0</v>
      </c>
      <c r="I316" s="157" t="s">
        <v>36</v>
      </c>
      <c r="J316" s="114">
        <v>3000000</v>
      </c>
      <c r="K316" s="115" t="s">
        <v>245</v>
      </c>
      <c r="L316" s="137" t="s">
        <v>251</v>
      </c>
      <c r="M316" s="116">
        <v>1</v>
      </c>
      <c r="N316" s="116" t="s">
        <v>255</v>
      </c>
      <c r="O316" s="138" t="s">
        <v>257</v>
      </c>
      <c r="P316" s="114">
        <f t="shared" si="19"/>
        <v>3000000</v>
      </c>
      <c r="Q316" s="17" t="s">
        <v>245</v>
      </c>
    </row>
    <row r="317" spans="1:17" ht="17.45" customHeight="1">
      <c r="A317" s="105"/>
      <c r="B317" s="119"/>
      <c r="C317" s="457" t="s">
        <v>75</v>
      </c>
      <c r="D317" s="244">
        <v>3600</v>
      </c>
      <c r="E317" s="244">
        <f t="shared" si="16"/>
        <v>3600</v>
      </c>
      <c r="F317" s="455"/>
      <c r="G317" s="246">
        <f t="shared" si="17"/>
        <v>0</v>
      </c>
      <c r="H317" s="247">
        <f t="shared" si="18"/>
        <v>0</v>
      </c>
      <c r="I317" s="157" t="s">
        <v>36</v>
      </c>
      <c r="J317" s="114">
        <v>3600000</v>
      </c>
      <c r="K317" s="115" t="s">
        <v>245</v>
      </c>
      <c r="L317" s="137" t="s">
        <v>251</v>
      </c>
      <c r="M317" s="116">
        <v>1</v>
      </c>
      <c r="N317" s="116" t="s">
        <v>255</v>
      </c>
      <c r="O317" s="138" t="s">
        <v>257</v>
      </c>
      <c r="P317" s="114">
        <f t="shared" si="19"/>
        <v>3600000</v>
      </c>
      <c r="Q317" s="17" t="s">
        <v>245</v>
      </c>
    </row>
    <row r="318" spans="1:17" ht="17.45" customHeight="1">
      <c r="A318" s="292" t="s">
        <v>542</v>
      </c>
      <c r="B318" s="106" t="s">
        <v>543</v>
      </c>
      <c r="C318" s="457" t="s">
        <v>160</v>
      </c>
      <c r="D318" s="244">
        <v>3000</v>
      </c>
      <c r="E318" s="244">
        <f t="shared" si="16"/>
        <v>3000</v>
      </c>
      <c r="F318" s="455"/>
      <c r="G318" s="246">
        <f t="shared" si="17"/>
        <v>0</v>
      </c>
      <c r="H318" s="247">
        <f t="shared" si="18"/>
        <v>0</v>
      </c>
      <c r="I318" s="157" t="s">
        <v>36</v>
      </c>
      <c r="J318" s="114">
        <v>3000000</v>
      </c>
      <c r="K318" s="115" t="s">
        <v>245</v>
      </c>
      <c r="L318" s="137" t="s">
        <v>251</v>
      </c>
      <c r="M318" s="116">
        <v>1</v>
      </c>
      <c r="N318" s="116" t="s">
        <v>255</v>
      </c>
      <c r="O318" s="138" t="s">
        <v>257</v>
      </c>
      <c r="P318" s="114">
        <f t="shared" si="19"/>
        <v>3000000</v>
      </c>
      <c r="Q318" s="17" t="s">
        <v>245</v>
      </c>
    </row>
    <row r="319" spans="1:17" ht="17.45" customHeight="1">
      <c r="A319" s="105"/>
      <c r="B319" s="119"/>
      <c r="C319" s="456" t="s">
        <v>396</v>
      </c>
      <c r="D319" s="244">
        <v>15000</v>
      </c>
      <c r="E319" s="244">
        <f t="shared" si="16"/>
        <v>15000</v>
      </c>
      <c r="F319" s="455"/>
      <c r="G319" s="246">
        <f t="shared" si="17"/>
        <v>0</v>
      </c>
      <c r="H319" s="247">
        <f t="shared" si="18"/>
        <v>0</v>
      </c>
      <c r="I319" s="157" t="s">
        <v>504</v>
      </c>
      <c r="J319" s="114">
        <v>7500000</v>
      </c>
      <c r="K319" s="115" t="s">
        <v>245</v>
      </c>
      <c r="L319" s="137" t="s">
        <v>251</v>
      </c>
      <c r="M319" s="116">
        <v>2</v>
      </c>
      <c r="N319" s="116" t="s">
        <v>255</v>
      </c>
      <c r="O319" s="138" t="s">
        <v>257</v>
      </c>
      <c r="P319" s="114">
        <f t="shared" si="19"/>
        <v>15000000</v>
      </c>
      <c r="Q319" s="17" t="s">
        <v>245</v>
      </c>
    </row>
    <row r="320" spans="1:17" ht="17.45" customHeight="1">
      <c r="A320" s="292"/>
      <c r="B320" s="106"/>
      <c r="C320" s="458" t="s">
        <v>120</v>
      </c>
      <c r="D320" s="460">
        <v>2700</v>
      </c>
      <c r="E320" s="460">
        <f t="shared" si="16"/>
        <v>2700</v>
      </c>
      <c r="F320" s="461"/>
      <c r="G320" s="302">
        <f t="shared" si="17"/>
        <v>0</v>
      </c>
      <c r="H320" s="303">
        <f t="shared" si="18"/>
        <v>0</v>
      </c>
      <c r="I320" s="157" t="s">
        <v>36</v>
      </c>
      <c r="J320" s="114">
        <v>2700000</v>
      </c>
      <c r="K320" s="115" t="s">
        <v>245</v>
      </c>
      <c r="L320" s="137" t="s">
        <v>251</v>
      </c>
      <c r="M320" s="116">
        <v>1</v>
      </c>
      <c r="N320" s="116" t="s">
        <v>255</v>
      </c>
      <c r="O320" s="138" t="s">
        <v>257</v>
      </c>
      <c r="P320" s="114">
        <f t="shared" si="19"/>
        <v>2700000</v>
      </c>
      <c r="Q320" s="17" t="s">
        <v>245</v>
      </c>
    </row>
    <row r="321" spans="1:17" ht="17.45" customHeight="1">
      <c r="A321" s="105"/>
      <c r="B321" s="119"/>
      <c r="C321" s="453" t="s">
        <v>94</v>
      </c>
      <c r="D321" s="244">
        <v>2700</v>
      </c>
      <c r="E321" s="244">
        <f t="shared" si="16"/>
        <v>2700</v>
      </c>
      <c r="F321" s="455"/>
      <c r="G321" s="246">
        <f t="shared" si="17"/>
        <v>0</v>
      </c>
      <c r="H321" s="247">
        <f t="shared" si="18"/>
        <v>0</v>
      </c>
      <c r="I321" s="157" t="s">
        <v>36</v>
      </c>
      <c r="J321" s="114">
        <v>2700000</v>
      </c>
      <c r="K321" s="115" t="s">
        <v>245</v>
      </c>
      <c r="L321" s="137" t="s">
        <v>251</v>
      </c>
      <c r="M321" s="116">
        <v>1</v>
      </c>
      <c r="N321" s="116" t="s">
        <v>255</v>
      </c>
      <c r="O321" s="138" t="s">
        <v>257</v>
      </c>
      <c r="P321" s="114">
        <f t="shared" si="19"/>
        <v>2700000</v>
      </c>
      <c r="Q321" s="17" t="s">
        <v>245</v>
      </c>
    </row>
    <row r="322" spans="1:17" ht="17.45" customHeight="1">
      <c r="A322" s="369"/>
      <c r="B322" s="370"/>
      <c r="C322" s="453" t="s">
        <v>162</v>
      </c>
      <c r="D322" s="244">
        <v>3000</v>
      </c>
      <c r="E322" s="244">
        <v>3000</v>
      </c>
      <c r="F322" s="455"/>
      <c r="G322" s="246">
        <f t="shared" si="17"/>
        <v>0</v>
      </c>
      <c r="H322" s="247">
        <v>0</v>
      </c>
      <c r="I322" s="157" t="s">
        <v>36</v>
      </c>
      <c r="J322" s="114">
        <v>3000000</v>
      </c>
      <c r="K322" s="115" t="s">
        <v>245</v>
      </c>
      <c r="L322" s="137" t="s">
        <v>251</v>
      </c>
      <c r="M322" s="116">
        <v>1</v>
      </c>
      <c r="N322" s="116" t="s">
        <v>255</v>
      </c>
      <c r="O322" s="138" t="s">
        <v>257</v>
      </c>
      <c r="P322" s="114">
        <f t="shared" si="19"/>
        <v>3000000</v>
      </c>
      <c r="Q322" s="17" t="s">
        <v>245</v>
      </c>
    </row>
    <row r="323" spans="1:17" ht="17.45" customHeight="1">
      <c r="A323" s="292"/>
      <c r="B323" s="106"/>
      <c r="C323" s="453" t="s">
        <v>98</v>
      </c>
      <c r="D323" s="244">
        <v>2400</v>
      </c>
      <c r="E323" s="244">
        <f t="shared" ref="E323:E338" si="20">P323/1000</f>
        <v>2400</v>
      </c>
      <c r="F323" s="455"/>
      <c r="G323" s="246">
        <f t="shared" si="17"/>
        <v>0</v>
      </c>
      <c r="H323" s="247">
        <f t="shared" ref="H323:H331" si="21">+G323/D323*100</f>
        <v>0</v>
      </c>
      <c r="I323" s="157" t="s">
        <v>36</v>
      </c>
      <c r="J323" s="114">
        <v>2400000</v>
      </c>
      <c r="K323" s="115" t="s">
        <v>245</v>
      </c>
      <c r="L323" s="137" t="s">
        <v>251</v>
      </c>
      <c r="M323" s="116">
        <v>1</v>
      </c>
      <c r="N323" s="116" t="s">
        <v>255</v>
      </c>
      <c r="O323" s="138" t="s">
        <v>257</v>
      </c>
      <c r="P323" s="114">
        <f t="shared" si="19"/>
        <v>2400000</v>
      </c>
      <c r="Q323" s="17" t="s">
        <v>245</v>
      </c>
    </row>
    <row r="324" spans="1:17" ht="17.45" customHeight="1">
      <c r="A324" s="292"/>
      <c r="B324" s="106"/>
      <c r="C324" s="471" t="s">
        <v>206</v>
      </c>
      <c r="D324" s="381">
        <v>900</v>
      </c>
      <c r="E324" s="244">
        <f t="shared" si="20"/>
        <v>900</v>
      </c>
      <c r="F324" s="464"/>
      <c r="G324" s="246">
        <f t="shared" si="17"/>
        <v>0</v>
      </c>
      <c r="H324" s="247">
        <f t="shared" si="21"/>
        <v>0</v>
      </c>
      <c r="I324" s="157" t="s">
        <v>36</v>
      </c>
      <c r="J324" s="114">
        <v>900000</v>
      </c>
      <c r="K324" s="115" t="s">
        <v>245</v>
      </c>
      <c r="L324" s="137" t="s">
        <v>251</v>
      </c>
      <c r="M324" s="116">
        <v>1</v>
      </c>
      <c r="N324" s="116" t="s">
        <v>255</v>
      </c>
      <c r="O324" s="138" t="s">
        <v>257</v>
      </c>
      <c r="P324" s="114">
        <f>SUM(J324*M324)</f>
        <v>900000</v>
      </c>
      <c r="Q324" s="17" t="s">
        <v>245</v>
      </c>
    </row>
    <row r="325" spans="1:17" ht="17.45" customHeight="1">
      <c r="A325" s="105"/>
      <c r="B325" s="119"/>
      <c r="C325" s="467" t="s">
        <v>351</v>
      </c>
      <c r="D325" s="381">
        <v>8599.9999800000005</v>
      </c>
      <c r="E325" s="244">
        <f t="shared" si="20"/>
        <v>8599.9999800000005</v>
      </c>
      <c r="F325" s="464"/>
      <c r="G325" s="246">
        <f t="shared" ref="G325:G338" si="22">+E325-D325</f>
        <v>0</v>
      </c>
      <c r="H325" s="247">
        <f t="shared" si="21"/>
        <v>0</v>
      </c>
      <c r="I325" s="157" t="s">
        <v>504</v>
      </c>
      <c r="J325" s="114">
        <v>2866666.66</v>
      </c>
      <c r="K325" s="115" t="s">
        <v>245</v>
      </c>
      <c r="L325" s="137" t="s">
        <v>251</v>
      </c>
      <c r="M325" s="116">
        <v>3</v>
      </c>
      <c r="N325" s="116" t="s">
        <v>255</v>
      </c>
      <c r="O325" s="138" t="s">
        <v>257</v>
      </c>
      <c r="P325" s="114">
        <f>SUM(J325*M325)</f>
        <v>8599999.9800000004</v>
      </c>
      <c r="Q325" s="17" t="s">
        <v>245</v>
      </c>
    </row>
    <row r="326" spans="1:17" ht="17.45" customHeight="1">
      <c r="A326" s="105"/>
      <c r="B326" s="119"/>
      <c r="C326" s="456" t="s">
        <v>187</v>
      </c>
      <c r="D326" s="244">
        <v>20014.168000000001</v>
      </c>
      <c r="E326" s="244">
        <f t="shared" si="20"/>
        <v>20014.168000000001</v>
      </c>
      <c r="F326" s="464"/>
      <c r="G326" s="246">
        <f t="shared" si="22"/>
        <v>0</v>
      </c>
      <c r="H326" s="247">
        <f t="shared" si="21"/>
        <v>0</v>
      </c>
      <c r="I326" s="157" t="s">
        <v>504</v>
      </c>
      <c r="J326" s="114">
        <v>4002833.6</v>
      </c>
      <c r="K326" s="115" t="s">
        <v>245</v>
      </c>
      <c r="L326" s="137" t="s">
        <v>251</v>
      </c>
      <c r="M326" s="116">
        <v>5</v>
      </c>
      <c r="N326" s="116" t="s">
        <v>255</v>
      </c>
      <c r="O326" s="138" t="s">
        <v>257</v>
      </c>
      <c r="P326" s="114">
        <f>SUM(J326*M326)</f>
        <v>20014168</v>
      </c>
      <c r="Q326" s="17" t="s">
        <v>245</v>
      </c>
    </row>
    <row r="327" spans="1:17" ht="17.45" customHeight="1">
      <c r="A327" s="105"/>
      <c r="B327" s="119"/>
      <c r="C327" s="458" t="s">
        <v>355</v>
      </c>
      <c r="D327" s="244">
        <v>93954.31</v>
      </c>
      <c r="E327" s="460">
        <f t="shared" si="20"/>
        <v>93954.31</v>
      </c>
      <c r="F327" s="461"/>
      <c r="G327" s="302">
        <f t="shared" si="22"/>
        <v>0</v>
      </c>
      <c r="H327" s="303">
        <f t="shared" si="21"/>
        <v>0</v>
      </c>
      <c r="I327" s="225" t="s">
        <v>482</v>
      </c>
      <c r="J327" s="114">
        <v>18790862</v>
      </c>
      <c r="K327" s="115" t="s">
        <v>245</v>
      </c>
      <c r="L327" s="137" t="s">
        <v>281</v>
      </c>
      <c r="M327" s="116">
        <v>5</v>
      </c>
      <c r="N327" s="116" t="s">
        <v>255</v>
      </c>
      <c r="O327" s="138" t="s">
        <v>257</v>
      </c>
      <c r="P327" s="114">
        <f>J327*M327</f>
        <v>93954310</v>
      </c>
      <c r="Q327" s="17" t="s">
        <v>245</v>
      </c>
    </row>
    <row r="328" spans="1:17" ht="17.45" customHeight="1">
      <c r="A328" s="105"/>
      <c r="B328" s="119"/>
      <c r="C328" s="453" t="s">
        <v>367</v>
      </c>
      <c r="D328" s="244">
        <v>11891.29998</v>
      </c>
      <c r="E328" s="244">
        <f t="shared" si="20"/>
        <v>11891.29998</v>
      </c>
      <c r="F328" s="455"/>
      <c r="G328" s="246">
        <f t="shared" si="22"/>
        <v>0</v>
      </c>
      <c r="H328" s="303">
        <f t="shared" si="21"/>
        <v>0</v>
      </c>
      <c r="I328" s="157" t="s">
        <v>504</v>
      </c>
      <c r="J328" s="114">
        <v>3963766.66</v>
      </c>
      <c r="K328" s="115" t="s">
        <v>245</v>
      </c>
      <c r="L328" s="137" t="s">
        <v>251</v>
      </c>
      <c r="M328" s="116">
        <v>3</v>
      </c>
      <c r="N328" s="116" t="s">
        <v>255</v>
      </c>
      <c r="O328" s="138" t="s">
        <v>257</v>
      </c>
      <c r="P328" s="114">
        <f>SUM(J328*M328)</f>
        <v>11891299.98</v>
      </c>
      <c r="Q328" s="17" t="s">
        <v>245</v>
      </c>
    </row>
    <row r="329" spans="1:17" ht="17.45" customHeight="1">
      <c r="A329" s="105"/>
      <c r="B329" s="119"/>
      <c r="C329" s="456" t="s">
        <v>413</v>
      </c>
      <c r="D329" s="244">
        <v>3400</v>
      </c>
      <c r="E329" s="244">
        <f t="shared" si="20"/>
        <v>3400</v>
      </c>
      <c r="F329" s="455"/>
      <c r="G329" s="246">
        <f t="shared" si="22"/>
        <v>0</v>
      </c>
      <c r="H329" s="303">
        <f t="shared" si="21"/>
        <v>0</v>
      </c>
      <c r="I329" s="157" t="s">
        <v>36</v>
      </c>
      <c r="J329" s="114">
        <v>850000</v>
      </c>
      <c r="K329" s="115" t="s">
        <v>245</v>
      </c>
      <c r="L329" s="137" t="s">
        <v>251</v>
      </c>
      <c r="M329" s="116">
        <v>4</v>
      </c>
      <c r="N329" s="116" t="s">
        <v>255</v>
      </c>
      <c r="O329" s="138" t="s">
        <v>257</v>
      </c>
      <c r="P329" s="114">
        <f>SUM(J329*M329)</f>
        <v>3400000</v>
      </c>
      <c r="Q329" s="17" t="s">
        <v>245</v>
      </c>
    </row>
    <row r="330" spans="1:17" ht="17.45" customHeight="1">
      <c r="A330" s="105"/>
      <c r="B330" s="119"/>
      <c r="C330" s="468" t="s">
        <v>346</v>
      </c>
      <c r="D330" s="244">
        <v>33719.32</v>
      </c>
      <c r="E330" s="244">
        <f t="shared" si="20"/>
        <v>33719.32</v>
      </c>
      <c r="F330" s="455"/>
      <c r="G330" s="246">
        <f t="shared" si="22"/>
        <v>0</v>
      </c>
      <c r="H330" s="303">
        <f t="shared" si="21"/>
        <v>0</v>
      </c>
      <c r="I330" s="225" t="s">
        <v>516</v>
      </c>
      <c r="J330" s="293">
        <v>8429830</v>
      </c>
      <c r="K330" s="115" t="s">
        <v>245</v>
      </c>
      <c r="L330" s="137" t="s">
        <v>251</v>
      </c>
      <c r="M330" s="116">
        <v>4</v>
      </c>
      <c r="N330" s="116" t="s">
        <v>255</v>
      </c>
      <c r="O330" s="138" t="s">
        <v>257</v>
      </c>
      <c r="P330" s="114">
        <f>SUM(J330*M330)</f>
        <v>33719320</v>
      </c>
      <c r="Q330" s="17" t="s">
        <v>245</v>
      </c>
    </row>
    <row r="331" spans="1:17" ht="17.45" customHeight="1">
      <c r="A331" s="105"/>
      <c r="B331" s="119"/>
      <c r="C331" s="468" t="s">
        <v>350</v>
      </c>
      <c r="D331" s="244">
        <v>300</v>
      </c>
      <c r="E331" s="244">
        <f t="shared" si="20"/>
        <v>300</v>
      </c>
      <c r="F331" s="455"/>
      <c r="G331" s="246">
        <f t="shared" si="22"/>
        <v>0</v>
      </c>
      <c r="H331" s="303">
        <f t="shared" si="21"/>
        <v>0</v>
      </c>
      <c r="I331" s="157" t="s">
        <v>36</v>
      </c>
      <c r="J331" s="293">
        <v>300000</v>
      </c>
      <c r="K331" s="115" t="s">
        <v>245</v>
      </c>
      <c r="L331" s="137" t="s">
        <v>251</v>
      </c>
      <c r="M331" s="116">
        <v>1</v>
      </c>
      <c r="N331" s="116" t="s">
        <v>255</v>
      </c>
      <c r="O331" s="138" t="s">
        <v>257</v>
      </c>
      <c r="P331" s="114">
        <f t="shared" ref="P331:P337" si="23">SUM(J331*M331)</f>
        <v>300000</v>
      </c>
      <c r="Q331" s="17" t="s">
        <v>245</v>
      </c>
    </row>
    <row r="332" spans="1:17" ht="17.45" customHeight="1">
      <c r="A332" s="105"/>
      <c r="B332" s="119"/>
      <c r="C332" s="457" t="s">
        <v>223</v>
      </c>
      <c r="D332" s="244">
        <v>3478</v>
      </c>
      <c r="E332" s="244">
        <f t="shared" si="20"/>
        <v>3478</v>
      </c>
      <c r="F332" s="455"/>
      <c r="G332" s="246">
        <f t="shared" si="22"/>
        <v>0</v>
      </c>
      <c r="H332" s="247">
        <f t="shared" ref="H332:H337" si="24">G332/D332*100</f>
        <v>0</v>
      </c>
      <c r="I332" s="157" t="s">
        <v>504</v>
      </c>
      <c r="J332" s="293">
        <v>1739000</v>
      </c>
      <c r="K332" s="115" t="s">
        <v>245</v>
      </c>
      <c r="L332" s="137" t="s">
        <v>251</v>
      </c>
      <c r="M332" s="116">
        <v>2</v>
      </c>
      <c r="N332" s="116" t="s">
        <v>255</v>
      </c>
      <c r="O332" s="138" t="s">
        <v>257</v>
      </c>
      <c r="P332" s="114">
        <f t="shared" si="23"/>
        <v>3478000</v>
      </c>
      <c r="Q332" s="17" t="s">
        <v>245</v>
      </c>
    </row>
    <row r="333" spans="1:17" ht="17.45" customHeight="1">
      <c r="A333" s="105"/>
      <c r="B333" s="119"/>
      <c r="C333" s="457" t="s">
        <v>197</v>
      </c>
      <c r="D333" s="244">
        <v>300</v>
      </c>
      <c r="E333" s="244">
        <f t="shared" si="20"/>
        <v>300</v>
      </c>
      <c r="F333" s="455"/>
      <c r="G333" s="246">
        <f t="shared" si="22"/>
        <v>0</v>
      </c>
      <c r="H333" s="247">
        <f t="shared" si="24"/>
        <v>0</v>
      </c>
      <c r="I333" s="157" t="s">
        <v>36</v>
      </c>
      <c r="J333" s="293">
        <v>300000</v>
      </c>
      <c r="K333" s="115" t="s">
        <v>245</v>
      </c>
      <c r="L333" s="137" t="s">
        <v>251</v>
      </c>
      <c r="M333" s="116">
        <v>1</v>
      </c>
      <c r="N333" s="116" t="s">
        <v>255</v>
      </c>
      <c r="O333" s="138" t="s">
        <v>257</v>
      </c>
      <c r="P333" s="114">
        <f t="shared" si="23"/>
        <v>300000</v>
      </c>
      <c r="Q333" s="17" t="s">
        <v>245</v>
      </c>
    </row>
    <row r="334" spans="1:17" ht="17.45" customHeight="1">
      <c r="A334" s="105"/>
      <c r="B334" s="119"/>
      <c r="C334" s="457" t="s">
        <v>207</v>
      </c>
      <c r="D334" s="244">
        <v>2554</v>
      </c>
      <c r="E334" s="244">
        <f t="shared" si="20"/>
        <v>2554</v>
      </c>
      <c r="F334" s="455"/>
      <c r="G334" s="246">
        <f t="shared" si="22"/>
        <v>0</v>
      </c>
      <c r="H334" s="247">
        <f t="shared" si="24"/>
        <v>0</v>
      </c>
      <c r="I334" s="157" t="s">
        <v>504</v>
      </c>
      <c r="J334" s="293">
        <v>1277000</v>
      </c>
      <c r="K334" s="115" t="s">
        <v>245</v>
      </c>
      <c r="L334" s="137" t="s">
        <v>251</v>
      </c>
      <c r="M334" s="116">
        <v>2</v>
      </c>
      <c r="N334" s="116" t="s">
        <v>255</v>
      </c>
      <c r="O334" s="138" t="s">
        <v>257</v>
      </c>
      <c r="P334" s="114">
        <f t="shared" si="23"/>
        <v>2554000</v>
      </c>
      <c r="Q334" s="17" t="s">
        <v>245</v>
      </c>
    </row>
    <row r="335" spans="1:17" ht="17.45" customHeight="1">
      <c r="A335" s="105"/>
      <c r="B335" s="119"/>
      <c r="C335" s="457" t="s">
        <v>30</v>
      </c>
      <c r="D335" s="244">
        <v>5000</v>
      </c>
      <c r="E335" s="244">
        <f t="shared" si="20"/>
        <v>5000</v>
      </c>
      <c r="F335" s="455"/>
      <c r="G335" s="246">
        <f t="shared" si="22"/>
        <v>0</v>
      </c>
      <c r="H335" s="247">
        <f t="shared" si="24"/>
        <v>0</v>
      </c>
      <c r="I335" s="157" t="s">
        <v>36</v>
      </c>
      <c r="J335" s="293">
        <v>5000000</v>
      </c>
      <c r="K335" s="115" t="s">
        <v>245</v>
      </c>
      <c r="L335" s="137" t="s">
        <v>251</v>
      </c>
      <c r="M335" s="116">
        <v>1</v>
      </c>
      <c r="N335" s="116" t="s">
        <v>255</v>
      </c>
      <c r="O335" s="138" t="s">
        <v>257</v>
      </c>
      <c r="P335" s="114">
        <f>SUM(J335*M335)</f>
        <v>5000000</v>
      </c>
      <c r="Q335" s="17" t="s">
        <v>245</v>
      </c>
    </row>
    <row r="336" spans="1:17" ht="17.45" customHeight="1">
      <c r="A336" s="105"/>
      <c r="B336" s="119"/>
      <c r="C336" s="453" t="s">
        <v>363</v>
      </c>
      <c r="D336" s="244">
        <v>300</v>
      </c>
      <c r="E336" s="244">
        <f t="shared" si="20"/>
        <v>300</v>
      </c>
      <c r="F336" s="455"/>
      <c r="G336" s="246">
        <f t="shared" si="22"/>
        <v>0</v>
      </c>
      <c r="H336" s="247">
        <f t="shared" si="24"/>
        <v>0</v>
      </c>
      <c r="I336" s="157" t="s">
        <v>36</v>
      </c>
      <c r="J336" s="293">
        <v>300000</v>
      </c>
      <c r="K336" s="115" t="s">
        <v>245</v>
      </c>
      <c r="L336" s="137" t="s">
        <v>251</v>
      </c>
      <c r="M336" s="116">
        <v>1</v>
      </c>
      <c r="N336" s="116" t="s">
        <v>255</v>
      </c>
      <c r="O336" s="138" t="s">
        <v>257</v>
      </c>
      <c r="P336" s="114">
        <f t="shared" si="23"/>
        <v>300000</v>
      </c>
      <c r="Q336" s="17" t="s">
        <v>245</v>
      </c>
    </row>
    <row r="337" spans="1:17" ht="17.45" customHeight="1">
      <c r="A337" s="105"/>
      <c r="B337" s="119"/>
      <c r="C337" s="453" t="s">
        <v>224</v>
      </c>
      <c r="D337" s="244">
        <v>300</v>
      </c>
      <c r="E337" s="244">
        <f t="shared" si="20"/>
        <v>300</v>
      </c>
      <c r="F337" s="455"/>
      <c r="G337" s="246">
        <f t="shared" si="22"/>
        <v>0</v>
      </c>
      <c r="H337" s="247">
        <f t="shared" si="24"/>
        <v>0</v>
      </c>
      <c r="I337" s="157" t="s">
        <v>36</v>
      </c>
      <c r="J337" s="114">
        <v>300000</v>
      </c>
      <c r="K337" s="115" t="s">
        <v>245</v>
      </c>
      <c r="L337" s="137" t="s">
        <v>251</v>
      </c>
      <c r="M337" s="116">
        <v>1</v>
      </c>
      <c r="N337" s="116" t="s">
        <v>255</v>
      </c>
      <c r="O337" s="138" t="s">
        <v>257</v>
      </c>
      <c r="P337" s="114">
        <f t="shared" si="23"/>
        <v>300000</v>
      </c>
      <c r="Q337" s="17" t="s">
        <v>245</v>
      </c>
    </row>
    <row r="338" spans="1:17" ht="17.45" customHeight="1">
      <c r="A338" s="105"/>
      <c r="B338" s="119"/>
      <c r="C338" s="453" t="s">
        <v>347</v>
      </c>
      <c r="D338" s="244">
        <v>300</v>
      </c>
      <c r="E338" s="244">
        <f t="shared" si="20"/>
        <v>300</v>
      </c>
      <c r="F338" s="455"/>
      <c r="G338" s="246">
        <f t="shared" si="22"/>
        <v>0</v>
      </c>
      <c r="H338" s="247">
        <f>+G338/D338*100</f>
        <v>0</v>
      </c>
      <c r="I338" s="157" t="s">
        <v>36</v>
      </c>
      <c r="J338" s="114">
        <v>300000</v>
      </c>
      <c r="K338" s="115" t="s">
        <v>245</v>
      </c>
      <c r="L338" s="137" t="s">
        <v>251</v>
      </c>
      <c r="M338" s="116">
        <v>1</v>
      </c>
      <c r="N338" s="116" t="s">
        <v>255</v>
      </c>
      <c r="O338" s="138" t="s">
        <v>257</v>
      </c>
      <c r="P338" s="114">
        <f t="shared" ref="P338:P343" si="25">SUM(J338*M338)</f>
        <v>300000</v>
      </c>
      <c r="Q338" s="17" t="s">
        <v>245</v>
      </c>
    </row>
    <row r="339" spans="1:17" ht="17.45" customHeight="1">
      <c r="A339" s="105"/>
      <c r="B339" s="119"/>
      <c r="C339" s="468" t="s">
        <v>332</v>
      </c>
      <c r="D339" s="244">
        <v>26032.26</v>
      </c>
      <c r="E339" s="244">
        <f t="shared" ref="E339:E344" si="26">P339/1000</f>
        <v>26032.26</v>
      </c>
      <c r="F339" s="455"/>
      <c r="G339" s="246">
        <f t="shared" ref="G339:G352" si="27">+E339-D339</f>
        <v>0</v>
      </c>
      <c r="H339" s="247">
        <f>+G339/D339*100</f>
        <v>0</v>
      </c>
      <c r="I339" s="225" t="s">
        <v>516</v>
      </c>
      <c r="J339" s="114">
        <v>8677420</v>
      </c>
      <c r="K339" s="115" t="s">
        <v>245</v>
      </c>
      <c r="L339" s="137" t="s">
        <v>251</v>
      </c>
      <c r="M339" s="116">
        <v>3</v>
      </c>
      <c r="N339" s="116" t="s">
        <v>255</v>
      </c>
      <c r="O339" s="138" t="s">
        <v>257</v>
      </c>
      <c r="P339" s="114">
        <f t="shared" si="25"/>
        <v>26032260</v>
      </c>
      <c r="Q339" s="17" t="s">
        <v>245</v>
      </c>
    </row>
    <row r="340" spans="1:17" ht="17.45" customHeight="1">
      <c r="A340" s="292"/>
      <c r="B340" s="106"/>
      <c r="C340" s="462" t="s">
        <v>360</v>
      </c>
      <c r="D340" s="460">
        <v>1200</v>
      </c>
      <c r="E340" s="460">
        <f t="shared" si="26"/>
        <v>1200</v>
      </c>
      <c r="F340" s="461"/>
      <c r="G340" s="302">
        <f t="shared" si="27"/>
        <v>0</v>
      </c>
      <c r="H340" s="303">
        <f>+G340/D340*100</f>
        <v>0</v>
      </c>
      <c r="I340" s="157" t="s">
        <v>36</v>
      </c>
      <c r="J340" s="114">
        <v>1200000</v>
      </c>
      <c r="K340" s="115" t="s">
        <v>245</v>
      </c>
      <c r="L340" s="137" t="s">
        <v>251</v>
      </c>
      <c r="M340" s="116">
        <v>1</v>
      </c>
      <c r="N340" s="116" t="s">
        <v>255</v>
      </c>
      <c r="O340" s="138" t="s">
        <v>257</v>
      </c>
      <c r="P340" s="114">
        <f t="shared" si="25"/>
        <v>1200000</v>
      </c>
      <c r="Q340" s="17" t="s">
        <v>245</v>
      </c>
    </row>
    <row r="341" spans="1:17" ht="17.45" customHeight="1">
      <c r="A341" s="292"/>
      <c r="B341" s="106"/>
      <c r="C341" s="462" t="s">
        <v>388</v>
      </c>
      <c r="D341" s="460">
        <v>1540</v>
      </c>
      <c r="E341" s="460">
        <f t="shared" si="26"/>
        <v>1540</v>
      </c>
      <c r="F341" s="461"/>
      <c r="G341" s="302">
        <f t="shared" si="27"/>
        <v>0</v>
      </c>
      <c r="H341" s="303">
        <f>+G341/D341*100</f>
        <v>0</v>
      </c>
      <c r="I341" s="157" t="s">
        <v>504</v>
      </c>
      <c r="J341" s="114">
        <v>770000</v>
      </c>
      <c r="K341" s="115" t="s">
        <v>245</v>
      </c>
      <c r="L341" s="137" t="s">
        <v>251</v>
      </c>
      <c r="M341" s="116">
        <v>2</v>
      </c>
      <c r="N341" s="116" t="s">
        <v>255</v>
      </c>
      <c r="O341" s="138" t="s">
        <v>257</v>
      </c>
      <c r="P341" s="114">
        <f t="shared" si="25"/>
        <v>1540000</v>
      </c>
      <c r="Q341" s="17" t="s">
        <v>245</v>
      </c>
    </row>
    <row r="342" spans="1:17" ht="17.45" customHeight="1">
      <c r="A342" s="292"/>
      <c r="B342" s="106"/>
      <c r="C342" s="472" t="s">
        <v>305</v>
      </c>
      <c r="D342" s="416">
        <v>40547.42</v>
      </c>
      <c r="E342" s="460">
        <f t="shared" si="26"/>
        <v>40547.42</v>
      </c>
      <c r="F342" s="466"/>
      <c r="G342" s="302">
        <f t="shared" si="27"/>
        <v>0</v>
      </c>
      <c r="H342" s="303">
        <f>G342/D342*100</f>
        <v>0</v>
      </c>
      <c r="I342" s="225" t="s">
        <v>516</v>
      </c>
      <c r="J342" s="114">
        <v>10136855</v>
      </c>
      <c r="K342" s="115" t="s">
        <v>245</v>
      </c>
      <c r="L342" s="137" t="s">
        <v>251</v>
      </c>
      <c r="M342" s="116">
        <v>4</v>
      </c>
      <c r="N342" s="116" t="s">
        <v>255</v>
      </c>
      <c r="O342" s="138" t="s">
        <v>257</v>
      </c>
      <c r="P342" s="114">
        <f t="shared" si="25"/>
        <v>40547420</v>
      </c>
      <c r="Q342" s="17" t="s">
        <v>245</v>
      </c>
    </row>
    <row r="343" spans="1:17" ht="17.45" customHeight="1">
      <c r="A343" s="292"/>
      <c r="B343" s="106"/>
      <c r="C343" s="473" t="s">
        <v>178</v>
      </c>
      <c r="D343" s="381">
        <v>1237.6400000000001</v>
      </c>
      <c r="E343" s="244">
        <f t="shared" si="26"/>
        <v>1237.6400000000001</v>
      </c>
      <c r="F343" s="464"/>
      <c r="G343" s="246">
        <f t="shared" si="27"/>
        <v>0</v>
      </c>
      <c r="H343" s="247">
        <f>G343/D343*100</f>
        <v>0</v>
      </c>
      <c r="I343" s="157" t="s">
        <v>36</v>
      </c>
      <c r="J343" s="114">
        <v>618820</v>
      </c>
      <c r="K343" s="115" t="s">
        <v>245</v>
      </c>
      <c r="L343" s="137" t="s">
        <v>251</v>
      </c>
      <c r="M343" s="116">
        <v>2</v>
      </c>
      <c r="N343" s="116" t="s">
        <v>255</v>
      </c>
      <c r="O343" s="138" t="s">
        <v>257</v>
      </c>
      <c r="P343" s="114">
        <f t="shared" si="25"/>
        <v>1237640</v>
      </c>
      <c r="Q343" s="17" t="s">
        <v>245</v>
      </c>
    </row>
    <row r="344" spans="1:17" ht="17.45" customHeight="1">
      <c r="A344" s="105"/>
      <c r="B344" s="119"/>
      <c r="C344" s="467" t="s">
        <v>302</v>
      </c>
      <c r="D344" s="381">
        <v>33921.68</v>
      </c>
      <c r="E344" s="244">
        <f t="shared" si="26"/>
        <v>33921.68</v>
      </c>
      <c r="F344" s="464"/>
      <c r="G344" s="246">
        <f t="shared" si="27"/>
        <v>0</v>
      </c>
      <c r="H344" s="247">
        <f t="shared" ref="H344:H349" si="28">+G344/D344*100</f>
        <v>0</v>
      </c>
      <c r="I344" s="225" t="s">
        <v>516</v>
      </c>
      <c r="J344" s="114">
        <v>6784336</v>
      </c>
      <c r="K344" s="115" t="s">
        <v>245</v>
      </c>
      <c r="L344" s="137" t="s">
        <v>251</v>
      </c>
      <c r="M344" s="116">
        <v>5</v>
      </c>
      <c r="N344" s="116" t="s">
        <v>255</v>
      </c>
      <c r="O344" s="138" t="s">
        <v>257</v>
      </c>
      <c r="P344" s="114">
        <f t="shared" ref="P344:P349" si="29">J344*M344</f>
        <v>33921680</v>
      </c>
      <c r="Q344" s="17" t="s">
        <v>245</v>
      </c>
    </row>
    <row r="345" spans="1:17" ht="17.45" customHeight="1">
      <c r="A345" s="105"/>
      <c r="B345" s="119"/>
      <c r="C345" s="471" t="s">
        <v>212</v>
      </c>
      <c r="D345" s="381">
        <v>3200</v>
      </c>
      <c r="E345" s="244">
        <f t="shared" ref="E345:E354" si="30">P345/1000</f>
        <v>3200</v>
      </c>
      <c r="F345" s="464"/>
      <c r="G345" s="246">
        <f t="shared" si="27"/>
        <v>0</v>
      </c>
      <c r="H345" s="247">
        <f t="shared" si="28"/>
        <v>0</v>
      </c>
      <c r="I345" s="157" t="s">
        <v>504</v>
      </c>
      <c r="J345" s="114">
        <v>1600000</v>
      </c>
      <c r="K345" s="115" t="s">
        <v>245</v>
      </c>
      <c r="L345" s="137" t="s">
        <v>251</v>
      </c>
      <c r="M345" s="116">
        <v>2</v>
      </c>
      <c r="N345" s="116" t="s">
        <v>255</v>
      </c>
      <c r="O345" s="138" t="s">
        <v>257</v>
      </c>
      <c r="P345" s="114">
        <f t="shared" si="29"/>
        <v>3200000</v>
      </c>
      <c r="Q345" s="17" t="s">
        <v>245</v>
      </c>
    </row>
    <row r="346" spans="1:17" ht="17.45" customHeight="1">
      <c r="A346" s="105"/>
      <c r="B346" s="119"/>
      <c r="C346" s="471" t="s">
        <v>389</v>
      </c>
      <c r="D346" s="381">
        <v>2148.41</v>
      </c>
      <c r="E346" s="244">
        <f t="shared" si="30"/>
        <v>2148.41</v>
      </c>
      <c r="F346" s="464"/>
      <c r="G346" s="246">
        <f t="shared" si="27"/>
        <v>0</v>
      </c>
      <c r="H346" s="247">
        <f t="shared" si="28"/>
        <v>0</v>
      </c>
      <c r="I346" s="225" t="s">
        <v>36</v>
      </c>
      <c r="J346" s="114">
        <v>1074205</v>
      </c>
      <c r="K346" s="115" t="s">
        <v>245</v>
      </c>
      <c r="L346" s="137" t="s">
        <v>251</v>
      </c>
      <c r="M346" s="116">
        <v>2</v>
      </c>
      <c r="N346" s="116" t="s">
        <v>255</v>
      </c>
      <c r="O346" s="138" t="s">
        <v>257</v>
      </c>
      <c r="P346" s="114">
        <f t="shared" si="29"/>
        <v>2148410</v>
      </c>
      <c r="Q346" s="17" t="s">
        <v>245</v>
      </c>
    </row>
    <row r="347" spans="1:17" ht="17.45" customHeight="1">
      <c r="A347" s="105"/>
      <c r="B347" s="119"/>
      <c r="C347" s="471" t="s">
        <v>392</v>
      </c>
      <c r="D347" s="381">
        <v>300</v>
      </c>
      <c r="E347" s="244">
        <f t="shared" si="30"/>
        <v>300</v>
      </c>
      <c r="F347" s="464"/>
      <c r="G347" s="246">
        <f t="shared" si="27"/>
        <v>0</v>
      </c>
      <c r="H347" s="247">
        <f t="shared" si="28"/>
        <v>0</v>
      </c>
      <c r="I347" s="225" t="s">
        <v>36</v>
      </c>
      <c r="J347" s="114">
        <v>300000</v>
      </c>
      <c r="K347" s="115" t="s">
        <v>245</v>
      </c>
      <c r="L347" s="137" t="s">
        <v>251</v>
      </c>
      <c r="M347" s="116">
        <v>1</v>
      </c>
      <c r="N347" s="116" t="s">
        <v>255</v>
      </c>
      <c r="O347" s="138" t="s">
        <v>257</v>
      </c>
      <c r="P347" s="114">
        <f t="shared" si="29"/>
        <v>300000</v>
      </c>
      <c r="Q347" s="17" t="s">
        <v>245</v>
      </c>
    </row>
    <row r="348" spans="1:17" ht="17.45" customHeight="1">
      <c r="A348" s="105"/>
      <c r="B348" s="119"/>
      <c r="C348" s="453" t="s">
        <v>176</v>
      </c>
      <c r="D348" s="244">
        <v>10000</v>
      </c>
      <c r="E348" s="244">
        <f t="shared" si="30"/>
        <v>10000</v>
      </c>
      <c r="F348" s="455"/>
      <c r="G348" s="246">
        <f t="shared" si="27"/>
        <v>0</v>
      </c>
      <c r="H348" s="247">
        <f t="shared" si="28"/>
        <v>0</v>
      </c>
      <c r="I348" s="225" t="s">
        <v>36</v>
      </c>
      <c r="J348" s="114">
        <v>2500000</v>
      </c>
      <c r="K348" s="115" t="s">
        <v>245</v>
      </c>
      <c r="L348" s="137" t="s">
        <v>251</v>
      </c>
      <c r="M348" s="116">
        <v>4</v>
      </c>
      <c r="N348" s="116" t="s">
        <v>255</v>
      </c>
      <c r="O348" s="138" t="s">
        <v>257</v>
      </c>
      <c r="P348" s="114">
        <f t="shared" si="29"/>
        <v>10000000</v>
      </c>
      <c r="Q348" s="17" t="s">
        <v>245</v>
      </c>
    </row>
    <row r="349" spans="1:17" ht="17.45" customHeight="1">
      <c r="A349" s="292" t="s">
        <v>542</v>
      </c>
      <c r="B349" s="106" t="s">
        <v>543</v>
      </c>
      <c r="C349" s="462" t="s">
        <v>354</v>
      </c>
      <c r="D349" s="460">
        <v>5000</v>
      </c>
      <c r="E349" s="460">
        <f t="shared" si="30"/>
        <v>5000</v>
      </c>
      <c r="F349" s="461"/>
      <c r="G349" s="302">
        <f t="shared" si="27"/>
        <v>0</v>
      </c>
      <c r="H349" s="303">
        <f t="shared" si="28"/>
        <v>0</v>
      </c>
      <c r="I349" s="157" t="s">
        <v>36</v>
      </c>
      <c r="J349" s="114">
        <v>5000000</v>
      </c>
      <c r="K349" s="115" t="s">
        <v>245</v>
      </c>
      <c r="L349" s="137" t="s">
        <v>251</v>
      </c>
      <c r="M349" s="116">
        <v>1</v>
      </c>
      <c r="N349" s="116" t="s">
        <v>255</v>
      </c>
      <c r="O349" s="138" t="s">
        <v>257</v>
      </c>
      <c r="P349" s="114">
        <f t="shared" si="29"/>
        <v>5000000</v>
      </c>
      <c r="Q349" s="17" t="s">
        <v>245</v>
      </c>
    </row>
    <row r="350" spans="1:17" ht="17.45" customHeight="1">
      <c r="A350" s="292"/>
      <c r="B350" s="106"/>
      <c r="C350" s="465" t="s">
        <v>143</v>
      </c>
      <c r="D350" s="416">
        <v>57364.74</v>
      </c>
      <c r="E350" s="460">
        <f t="shared" si="30"/>
        <v>57364.74</v>
      </c>
      <c r="F350" s="466"/>
      <c r="G350" s="302">
        <f t="shared" si="27"/>
        <v>0</v>
      </c>
      <c r="H350" s="303">
        <f>G350/D350*100</f>
        <v>0</v>
      </c>
      <c r="I350" s="225" t="s">
        <v>516</v>
      </c>
      <c r="J350" s="114">
        <v>14341185</v>
      </c>
      <c r="K350" s="115" t="s">
        <v>245</v>
      </c>
      <c r="L350" s="137" t="s">
        <v>251</v>
      </c>
      <c r="M350" s="116">
        <v>4</v>
      </c>
      <c r="N350" s="116" t="s">
        <v>255</v>
      </c>
      <c r="O350" s="138" t="s">
        <v>257</v>
      </c>
      <c r="P350" s="114">
        <f t="shared" ref="P350:P365" si="31">SUM(J350*M350)</f>
        <v>57364740</v>
      </c>
      <c r="Q350" s="17" t="s">
        <v>245</v>
      </c>
    </row>
    <row r="351" spans="1:17" ht="17.45" customHeight="1">
      <c r="A351" s="105"/>
      <c r="B351" s="119"/>
      <c r="C351" s="463" t="s">
        <v>190</v>
      </c>
      <c r="D351" s="381">
        <v>300</v>
      </c>
      <c r="E351" s="244">
        <f t="shared" si="30"/>
        <v>300</v>
      </c>
      <c r="F351" s="464"/>
      <c r="G351" s="246">
        <f t="shared" si="27"/>
        <v>0</v>
      </c>
      <c r="H351" s="247">
        <f>G351/D351*100</f>
        <v>0</v>
      </c>
      <c r="I351" s="157" t="s">
        <v>36</v>
      </c>
      <c r="J351" s="114">
        <v>300000</v>
      </c>
      <c r="K351" s="115" t="s">
        <v>245</v>
      </c>
      <c r="L351" s="137" t="s">
        <v>251</v>
      </c>
      <c r="M351" s="116">
        <v>1</v>
      </c>
      <c r="N351" s="116" t="s">
        <v>255</v>
      </c>
      <c r="O351" s="138" t="s">
        <v>257</v>
      </c>
      <c r="P351" s="114">
        <f t="shared" si="31"/>
        <v>300000</v>
      </c>
      <c r="Q351" s="17" t="s">
        <v>245</v>
      </c>
    </row>
    <row r="352" spans="1:17" ht="17.45" customHeight="1">
      <c r="A352" s="105"/>
      <c r="B352" s="119"/>
      <c r="C352" s="463" t="s">
        <v>221</v>
      </c>
      <c r="D352" s="381">
        <v>2460</v>
      </c>
      <c r="E352" s="244">
        <f t="shared" si="30"/>
        <v>2460</v>
      </c>
      <c r="F352" s="464"/>
      <c r="G352" s="246">
        <f t="shared" si="27"/>
        <v>0</v>
      </c>
      <c r="H352" s="247">
        <f>G352/D352*100</f>
        <v>0</v>
      </c>
      <c r="I352" s="157" t="s">
        <v>504</v>
      </c>
      <c r="J352" s="114">
        <v>1230000</v>
      </c>
      <c r="K352" s="115" t="s">
        <v>245</v>
      </c>
      <c r="L352" s="137" t="s">
        <v>251</v>
      </c>
      <c r="M352" s="116">
        <v>2</v>
      </c>
      <c r="N352" s="116" t="s">
        <v>255</v>
      </c>
      <c r="O352" s="138" t="s">
        <v>257</v>
      </c>
      <c r="P352" s="114">
        <f t="shared" si="31"/>
        <v>2460000</v>
      </c>
      <c r="Q352" s="17" t="s">
        <v>245</v>
      </c>
    </row>
    <row r="353" spans="1:17" ht="17.45" customHeight="1">
      <c r="A353" s="105"/>
      <c r="B353" s="119"/>
      <c r="C353" s="463" t="s">
        <v>184</v>
      </c>
      <c r="D353" s="381">
        <v>11010</v>
      </c>
      <c r="E353" s="244">
        <f t="shared" si="30"/>
        <v>11010</v>
      </c>
      <c r="F353" s="464"/>
      <c r="G353" s="246">
        <f t="shared" ref="G353:G365" si="32">+E353-D353</f>
        <v>0</v>
      </c>
      <c r="H353" s="247">
        <f>G353/D353*100</f>
        <v>0</v>
      </c>
      <c r="I353" s="157" t="s">
        <v>504</v>
      </c>
      <c r="J353" s="114">
        <v>5505000</v>
      </c>
      <c r="K353" s="115" t="s">
        <v>245</v>
      </c>
      <c r="L353" s="137" t="s">
        <v>251</v>
      </c>
      <c r="M353" s="116">
        <v>2</v>
      </c>
      <c r="N353" s="116" t="s">
        <v>255</v>
      </c>
      <c r="O353" s="138" t="s">
        <v>257</v>
      </c>
      <c r="P353" s="114">
        <f t="shared" si="31"/>
        <v>11010000</v>
      </c>
      <c r="Q353" s="17" t="s">
        <v>245</v>
      </c>
    </row>
    <row r="354" spans="1:17" ht="17.45" customHeight="1">
      <c r="A354" s="105"/>
      <c r="B354" s="119"/>
      <c r="C354" s="463" t="s">
        <v>211</v>
      </c>
      <c r="D354" s="381">
        <v>300</v>
      </c>
      <c r="E354" s="244">
        <f t="shared" si="30"/>
        <v>300</v>
      </c>
      <c r="F354" s="464"/>
      <c r="G354" s="246">
        <f t="shared" si="32"/>
        <v>0</v>
      </c>
      <c r="H354" s="247">
        <f>G354/D354*100</f>
        <v>0</v>
      </c>
      <c r="I354" s="157" t="s">
        <v>36</v>
      </c>
      <c r="J354" s="114">
        <v>300000</v>
      </c>
      <c r="K354" s="115" t="s">
        <v>245</v>
      </c>
      <c r="L354" s="137" t="s">
        <v>251</v>
      </c>
      <c r="M354" s="116">
        <v>1</v>
      </c>
      <c r="N354" s="116" t="s">
        <v>255</v>
      </c>
      <c r="O354" s="138" t="s">
        <v>257</v>
      </c>
      <c r="P354" s="114">
        <f t="shared" si="31"/>
        <v>300000</v>
      </c>
      <c r="Q354" s="17" t="s">
        <v>245</v>
      </c>
    </row>
    <row r="355" spans="1:17" ht="17.45" customHeight="1">
      <c r="A355" s="105"/>
      <c r="B355" s="119"/>
      <c r="C355" s="471" t="s">
        <v>455</v>
      </c>
      <c r="D355" s="381">
        <v>34000</v>
      </c>
      <c r="E355" s="244">
        <f t="shared" ref="E355:E365" si="33">P355/1000</f>
        <v>34000</v>
      </c>
      <c r="F355" s="464"/>
      <c r="G355" s="246">
        <f t="shared" si="32"/>
        <v>0</v>
      </c>
      <c r="H355" s="247">
        <f t="shared" ref="H355:H361" si="34">+G355/D355*100</f>
        <v>0</v>
      </c>
      <c r="I355" s="157" t="s">
        <v>36</v>
      </c>
      <c r="J355" s="114">
        <v>6800000</v>
      </c>
      <c r="K355" s="115" t="s">
        <v>245</v>
      </c>
      <c r="L355" s="137" t="s">
        <v>251</v>
      </c>
      <c r="M355" s="116">
        <v>5</v>
      </c>
      <c r="N355" s="116" t="s">
        <v>255</v>
      </c>
      <c r="O355" s="138" t="s">
        <v>257</v>
      </c>
      <c r="P355" s="114">
        <f t="shared" si="31"/>
        <v>34000000</v>
      </c>
      <c r="Q355" s="17" t="s">
        <v>245</v>
      </c>
    </row>
    <row r="356" spans="1:17" ht="17.45" customHeight="1">
      <c r="A356" s="105"/>
      <c r="B356" s="119"/>
      <c r="C356" s="471" t="s">
        <v>375</v>
      </c>
      <c r="D356" s="381">
        <v>300</v>
      </c>
      <c r="E356" s="244">
        <f t="shared" si="33"/>
        <v>300</v>
      </c>
      <c r="F356" s="464"/>
      <c r="G356" s="246">
        <f t="shared" si="32"/>
        <v>0</v>
      </c>
      <c r="H356" s="247">
        <f t="shared" si="34"/>
        <v>0</v>
      </c>
      <c r="I356" s="157" t="s">
        <v>36</v>
      </c>
      <c r="J356" s="114">
        <v>300000</v>
      </c>
      <c r="K356" s="115" t="s">
        <v>245</v>
      </c>
      <c r="L356" s="137" t="s">
        <v>251</v>
      </c>
      <c r="M356" s="116">
        <v>1</v>
      </c>
      <c r="N356" s="116" t="s">
        <v>255</v>
      </c>
      <c r="O356" s="138" t="s">
        <v>257</v>
      </c>
      <c r="P356" s="114">
        <f t="shared" si="31"/>
        <v>300000</v>
      </c>
      <c r="Q356" s="17" t="s">
        <v>245</v>
      </c>
    </row>
    <row r="357" spans="1:17" ht="17.45" customHeight="1">
      <c r="A357" s="105"/>
      <c r="B357" s="119"/>
      <c r="C357" s="467" t="s">
        <v>461</v>
      </c>
      <c r="D357" s="381">
        <v>5000</v>
      </c>
      <c r="E357" s="244">
        <f t="shared" si="33"/>
        <v>5000</v>
      </c>
      <c r="F357" s="464"/>
      <c r="G357" s="246">
        <f t="shared" si="32"/>
        <v>0</v>
      </c>
      <c r="H357" s="247">
        <f t="shared" si="34"/>
        <v>0</v>
      </c>
      <c r="I357" s="157" t="s">
        <v>36</v>
      </c>
      <c r="J357" s="114">
        <v>1250000</v>
      </c>
      <c r="K357" s="115" t="s">
        <v>245</v>
      </c>
      <c r="L357" s="137" t="s">
        <v>251</v>
      </c>
      <c r="M357" s="116">
        <v>4</v>
      </c>
      <c r="N357" s="116" t="s">
        <v>255</v>
      </c>
      <c r="O357" s="138" t="s">
        <v>257</v>
      </c>
      <c r="P357" s="114">
        <f>SUM(J357*M357)</f>
        <v>5000000</v>
      </c>
      <c r="Q357" s="17" t="s">
        <v>245</v>
      </c>
    </row>
    <row r="358" spans="1:17" ht="17.45" customHeight="1">
      <c r="A358" s="105"/>
      <c r="B358" s="119"/>
      <c r="C358" s="471" t="s">
        <v>390</v>
      </c>
      <c r="D358" s="381">
        <v>44469.120000000003</v>
      </c>
      <c r="E358" s="244">
        <f t="shared" si="33"/>
        <v>44469.120000000003</v>
      </c>
      <c r="F358" s="464"/>
      <c r="G358" s="246">
        <f t="shared" si="32"/>
        <v>0</v>
      </c>
      <c r="H358" s="247">
        <f t="shared" si="34"/>
        <v>0</v>
      </c>
      <c r="I358" s="157" t="s">
        <v>340</v>
      </c>
      <c r="J358" s="114">
        <v>44469120</v>
      </c>
      <c r="K358" s="115" t="s">
        <v>245</v>
      </c>
      <c r="L358" s="137" t="s">
        <v>251</v>
      </c>
      <c r="M358" s="116">
        <v>1</v>
      </c>
      <c r="N358" s="116" t="s">
        <v>255</v>
      </c>
      <c r="O358" s="138" t="s">
        <v>257</v>
      </c>
      <c r="P358" s="114">
        <f t="shared" si="31"/>
        <v>44469120</v>
      </c>
      <c r="Q358" s="17" t="s">
        <v>245</v>
      </c>
    </row>
    <row r="359" spans="1:17" ht="17.45" customHeight="1">
      <c r="A359" s="292"/>
      <c r="B359" s="106"/>
      <c r="C359" s="467" t="s">
        <v>398</v>
      </c>
      <c r="D359" s="381">
        <v>70000</v>
      </c>
      <c r="E359" s="244">
        <f t="shared" si="33"/>
        <v>70000</v>
      </c>
      <c r="F359" s="464"/>
      <c r="G359" s="246">
        <f t="shared" si="32"/>
        <v>0</v>
      </c>
      <c r="H359" s="247">
        <f t="shared" si="34"/>
        <v>0</v>
      </c>
      <c r="I359" s="157" t="s">
        <v>36</v>
      </c>
      <c r="J359" s="114">
        <v>17500000</v>
      </c>
      <c r="K359" s="115" t="s">
        <v>245</v>
      </c>
      <c r="L359" s="137" t="s">
        <v>251</v>
      </c>
      <c r="M359" s="116">
        <v>4</v>
      </c>
      <c r="N359" s="116" t="s">
        <v>255</v>
      </c>
      <c r="O359" s="138" t="s">
        <v>257</v>
      </c>
      <c r="P359" s="114">
        <f t="shared" si="31"/>
        <v>70000000</v>
      </c>
      <c r="Q359" s="17" t="s">
        <v>245</v>
      </c>
    </row>
    <row r="360" spans="1:17" ht="17.45" customHeight="1">
      <c r="A360" s="105"/>
      <c r="B360" s="119"/>
      <c r="C360" s="471" t="s">
        <v>152</v>
      </c>
      <c r="D360" s="381">
        <v>900</v>
      </c>
      <c r="E360" s="244">
        <f t="shared" si="33"/>
        <v>900</v>
      </c>
      <c r="F360" s="464"/>
      <c r="G360" s="246">
        <f t="shared" si="32"/>
        <v>0</v>
      </c>
      <c r="H360" s="247">
        <f t="shared" si="34"/>
        <v>0</v>
      </c>
      <c r="I360" s="157" t="s">
        <v>36</v>
      </c>
      <c r="J360" s="114">
        <v>900000</v>
      </c>
      <c r="K360" s="115" t="s">
        <v>245</v>
      </c>
      <c r="L360" s="137" t="s">
        <v>251</v>
      </c>
      <c r="M360" s="116">
        <v>1</v>
      </c>
      <c r="N360" s="116" t="s">
        <v>255</v>
      </c>
      <c r="O360" s="138" t="s">
        <v>257</v>
      </c>
      <c r="P360" s="114">
        <f t="shared" si="31"/>
        <v>900000</v>
      </c>
      <c r="Q360" s="17" t="s">
        <v>245</v>
      </c>
    </row>
    <row r="361" spans="1:17" ht="17.45" customHeight="1">
      <c r="A361" s="105"/>
      <c r="B361" s="119"/>
      <c r="C361" s="471" t="s">
        <v>348</v>
      </c>
      <c r="D361" s="381">
        <v>300</v>
      </c>
      <c r="E361" s="244">
        <f t="shared" si="33"/>
        <v>300</v>
      </c>
      <c r="F361" s="464"/>
      <c r="G361" s="246">
        <f t="shared" si="32"/>
        <v>0</v>
      </c>
      <c r="H361" s="247">
        <f t="shared" si="34"/>
        <v>0</v>
      </c>
      <c r="I361" s="157" t="s">
        <v>36</v>
      </c>
      <c r="J361" s="114">
        <v>300000</v>
      </c>
      <c r="K361" s="115" t="s">
        <v>245</v>
      </c>
      <c r="L361" s="137" t="s">
        <v>251</v>
      </c>
      <c r="M361" s="116">
        <v>1</v>
      </c>
      <c r="N361" s="116" t="s">
        <v>255</v>
      </c>
      <c r="O361" s="138" t="s">
        <v>257</v>
      </c>
      <c r="P361" s="114">
        <f t="shared" si="31"/>
        <v>300000</v>
      </c>
      <c r="Q361" s="17" t="s">
        <v>245</v>
      </c>
    </row>
    <row r="362" spans="1:17" ht="17.45" customHeight="1">
      <c r="A362" s="105"/>
      <c r="B362" s="119"/>
      <c r="C362" s="467" t="s">
        <v>395</v>
      </c>
      <c r="D362" s="381">
        <v>4003.2</v>
      </c>
      <c r="E362" s="244">
        <f t="shared" si="33"/>
        <v>4003.2</v>
      </c>
      <c r="F362" s="464"/>
      <c r="G362" s="246">
        <f t="shared" si="32"/>
        <v>0</v>
      </c>
      <c r="H362" s="247">
        <f>G362/D362*100</f>
        <v>0</v>
      </c>
      <c r="I362" s="157" t="s">
        <v>504</v>
      </c>
      <c r="J362" s="114">
        <v>1334400</v>
      </c>
      <c r="K362" s="115" t="s">
        <v>245</v>
      </c>
      <c r="L362" s="137" t="s">
        <v>251</v>
      </c>
      <c r="M362" s="116">
        <v>3</v>
      </c>
      <c r="N362" s="116" t="s">
        <v>255</v>
      </c>
      <c r="O362" s="138" t="s">
        <v>257</v>
      </c>
      <c r="P362" s="114">
        <f t="shared" si="31"/>
        <v>4003200</v>
      </c>
      <c r="Q362" s="17" t="s">
        <v>245</v>
      </c>
    </row>
    <row r="363" spans="1:17" ht="17.45" customHeight="1">
      <c r="A363" s="105"/>
      <c r="B363" s="119"/>
      <c r="C363" s="453" t="s">
        <v>356</v>
      </c>
      <c r="D363" s="381">
        <v>1800</v>
      </c>
      <c r="E363" s="244">
        <f t="shared" si="33"/>
        <v>1800</v>
      </c>
      <c r="F363" s="464"/>
      <c r="G363" s="246">
        <f t="shared" si="32"/>
        <v>0</v>
      </c>
      <c r="H363" s="247">
        <f>G363/D363*100</f>
        <v>0</v>
      </c>
      <c r="I363" s="157" t="s">
        <v>36</v>
      </c>
      <c r="J363" s="114">
        <v>1800000</v>
      </c>
      <c r="K363" s="115" t="s">
        <v>245</v>
      </c>
      <c r="L363" s="137" t="s">
        <v>251</v>
      </c>
      <c r="M363" s="116">
        <v>1</v>
      </c>
      <c r="N363" s="116" t="s">
        <v>255</v>
      </c>
      <c r="O363" s="138" t="s">
        <v>257</v>
      </c>
      <c r="P363" s="114">
        <f t="shared" si="31"/>
        <v>1800000</v>
      </c>
      <c r="Q363" s="17" t="s">
        <v>245</v>
      </c>
    </row>
    <row r="364" spans="1:17" ht="17.45" customHeight="1">
      <c r="A364" s="105"/>
      <c r="B364" s="119"/>
      <c r="C364" s="453" t="s">
        <v>386</v>
      </c>
      <c r="D364" s="381">
        <v>4100</v>
      </c>
      <c r="E364" s="244">
        <f t="shared" si="33"/>
        <v>4100</v>
      </c>
      <c r="F364" s="464"/>
      <c r="G364" s="246">
        <f t="shared" si="32"/>
        <v>0</v>
      </c>
      <c r="H364" s="247">
        <f>G364/D364*100</f>
        <v>0</v>
      </c>
      <c r="I364" s="157" t="s">
        <v>504</v>
      </c>
      <c r="J364" s="114">
        <v>2050000</v>
      </c>
      <c r="K364" s="115" t="s">
        <v>245</v>
      </c>
      <c r="L364" s="137" t="s">
        <v>251</v>
      </c>
      <c r="M364" s="116">
        <v>2</v>
      </c>
      <c r="N364" s="116" t="s">
        <v>255</v>
      </c>
      <c r="O364" s="138" t="s">
        <v>257</v>
      </c>
      <c r="P364" s="114">
        <f t="shared" si="31"/>
        <v>4100000</v>
      </c>
      <c r="Q364" s="17" t="s">
        <v>245</v>
      </c>
    </row>
    <row r="365" spans="1:17" ht="17.45" customHeight="1">
      <c r="A365" s="105"/>
      <c r="B365" s="119"/>
      <c r="C365" s="471" t="s">
        <v>393</v>
      </c>
      <c r="D365" s="381">
        <v>300</v>
      </c>
      <c r="E365" s="244">
        <f t="shared" si="33"/>
        <v>300</v>
      </c>
      <c r="F365" s="464"/>
      <c r="G365" s="246">
        <f t="shared" si="32"/>
        <v>0</v>
      </c>
      <c r="H365" s="247">
        <f>G365/D365*100</f>
        <v>0</v>
      </c>
      <c r="I365" s="157" t="s">
        <v>36</v>
      </c>
      <c r="J365" s="114">
        <v>300000</v>
      </c>
      <c r="K365" s="115" t="s">
        <v>245</v>
      </c>
      <c r="L365" s="137" t="s">
        <v>251</v>
      </c>
      <c r="M365" s="116">
        <v>1</v>
      </c>
      <c r="N365" s="116" t="s">
        <v>255</v>
      </c>
      <c r="O365" s="138" t="s">
        <v>257</v>
      </c>
      <c r="P365" s="114">
        <f t="shared" si="31"/>
        <v>300000</v>
      </c>
      <c r="Q365" s="17" t="s">
        <v>245</v>
      </c>
    </row>
    <row r="366" spans="1:17" ht="17.45" customHeight="1">
      <c r="A366" s="105"/>
      <c r="B366" s="119"/>
      <c r="C366" s="463" t="s">
        <v>149</v>
      </c>
      <c r="D366" s="381">
        <v>5800</v>
      </c>
      <c r="E366" s="244">
        <f t="shared" ref="E366:E373" si="35">P366/1000</f>
        <v>5800</v>
      </c>
      <c r="F366" s="464"/>
      <c r="G366" s="246">
        <f t="shared" ref="G366:G374" si="36">+E366-D366</f>
        <v>0</v>
      </c>
      <c r="H366" s="247">
        <f t="shared" ref="H366:H373" si="37">+G366/D366*100</f>
        <v>0</v>
      </c>
      <c r="I366" s="157" t="s">
        <v>504</v>
      </c>
      <c r="J366" s="114">
        <v>2900000</v>
      </c>
      <c r="K366" s="115" t="s">
        <v>245</v>
      </c>
      <c r="L366" s="137" t="s">
        <v>251</v>
      </c>
      <c r="M366" s="116">
        <v>2</v>
      </c>
      <c r="N366" s="116" t="s">
        <v>255</v>
      </c>
      <c r="O366" s="138" t="s">
        <v>257</v>
      </c>
      <c r="P366" s="114">
        <f t="shared" ref="P366:P373" si="38">SUM(J366*M366)</f>
        <v>5800000</v>
      </c>
      <c r="Q366" s="17" t="s">
        <v>245</v>
      </c>
    </row>
    <row r="367" spans="1:17" ht="17.45" customHeight="1">
      <c r="A367" s="105"/>
      <c r="B367" s="119"/>
      <c r="C367" s="463" t="s">
        <v>168</v>
      </c>
      <c r="D367" s="381">
        <v>7342.8699900000001</v>
      </c>
      <c r="E367" s="244">
        <f t="shared" si="35"/>
        <v>7342.8699900000001</v>
      </c>
      <c r="F367" s="464"/>
      <c r="G367" s="246">
        <f t="shared" si="36"/>
        <v>0</v>
      </c>
      <c r="H367" s="247">
        <f t="shared" si="37"/>
        <v>0</v>
      </c>
      <c r="I367" s="157" t="s">
        <v>504</v>
      </c>
      <c r="J367" s="114">
        <v>2447623.33</v>
      </c>
      <c r="K367" s="115" t="s">
        <v>245</v>
      </c>
      <c r="L367" s="137" t="s">
        <v>251</v>
      </c>
      <c r="M367" s="116">
        <v>3</v>
      </c>
      <c r="N367" s="116" t="s">
        <v>255</v>
      </c>
      <c r="O367" s="138" t="s">
        <v>257</v>
      </c>
      <c r="P367" s="114">
        <f t="shared" si="38"/>
        <v>7342869.9900000002</v>
      </c>
      <c r="Q367" s="17" t="s">
        <v>245</v>
      </c>
    </row>
    <row r="368" spans="1:17" ht="17.45" customHeight="1">
      <c r="A368" s="105"/>
      <c r="B368" s="119"/>
      <c r="C368" s="457" t="s">
        <v>341</v>
      </c>
      <c r="D368" s="244">
        <v>12300</v>
      </c>
      <c r="E368" s="244">
        <f t="shared" si="35"/>
        <v>12911.98</v>
      </c>
      <c r="F368" s="455"/>
      <c r="G368" s="246">
        <f t="shared" si="36"/>
        <v>611.97999999999956</v>
      </c>
      <c r="H368" s="247">
        <f t="shared" si="37"/>
        <v>4.9754471544715413</v>
      </c>
      <c r="I368" s="157" t="s">
        <v>504</v>
      </c>
      <c r="J368" s="114">
        <v>2582396</v>
      </c>
      <c r="K368" s="115" t="s">
        <v>245</v>
      </c>
      <c r="L368" s="137" t="s">
        <v>251</v>
      </c>
      <c r="M368" s="116">
        <v>5</v>
      </c>
      <c r="N368" s="116" t="s">
        <v>255</v>
      </c>
      <c r="O368" s="138" t="s">
        <v>257</v>
      </c>
      <c r="P368" s="114">
        <f t="shared" si="38"/>
        <v>12911980</v>
      </c>
      <c r="Q368" s="17" t="s">
        <v>245</v>
      </c>
    </row>
    <row r="369" spans="1:17" ht="17.45" customHeight="1">
      <c r="A369" s="105"/>
      <c r="B369" s="119"/>
      <c r="C369" s="457" t="s">
        <v>209</v>
      </c>
      <c r="D369" s="244">
        <v>9600</v>
      </c>
      <c r="E369" s="244">
        <f t="shared" si="35"/>
        <v>9600</v>
      </c>
      <c r="F369" s="464"/>
      <c r="G369" s="246">
        <f t="shared" si="36"/>
        <v>0</v>
      </c>
      <c r="H369" s="247">
        <f t="shared" si="37"/>
        <v>0</v>
      </c>
      <c r="I369" s="157" t="s">
        <v>504</v>
      </c>
      <c r="J369" s="114">
        <v>3200000</v>
      </c>
      <c r="K369" s="115" t="s">
        <v>245</v>
      </c>
      <c r="L369" s="137" t="s">
        <v>251</v>
      </c>
      <c r="M369" s="116">
        <v>3</v>
      </c>
      <c r="N369" s="116" t="s">
        <v>255</v>
      </c>
      <c r="O369" s="138" t="s">
        <v>257</v>
      </c>
      <c r="P369" s="114">
        <f t="shared" si="38"/>
        <v>9600000</v>
      </c>
      <c r="Q369" s="17" t="s">
        <v>245</v>
      </c>
    </row>
    <row r="370" spans="1:17" ht="17.45" customHeight="1">
      <c r="A370" s="105"/>
      <c r="B370" s="119"/>
      <c r="C370" s="456" t="s">
        <v>196</v>
      </c>
      <c r="D370" s="244">
        <v>2500</v>
      </c>
      <c r="E370" s="244">
        <f>P370/1000</f>
        <v>2500</v>
      </c>
      <c r="F370" s="455"/>
      <c r="G370" s="246">
        <f>+E370-D370</f>
        <v>0</v>
      </c>
      <c r="H370" s="247">
        <f>+G370/D370*100</f>
        <v>0</v>
      </c>
      <c r="I370" s="157" t="s">
        <v>36</v>
      </c>
      <c r="J370" s="114">
        <v>1250000</v>
      </c>
      <c r="K370" s="115" t="s">
        <v>245</v>
      </c>
      <c r="L370" s="137" t="s">
        <v>251</v>
      </c>
      <c r="M370" s="116">
        <v>2</v>
      </c>
      <c r="N370" s="116" t="s">
        <v>255</v>
      </c>
      <c r="O370" s="138" t="s">
        <v>257</v>
      </c>
      <c r="P370" s="114">
        <f>SUM(J370*M370)</f>
        <v>2500000</v>
      </c>
      <c r="Q370" s="17" t="s">
        <v>245</v>
      </c>
    </row>
    <row r="371" spans="1:17" ht="17.45" customHeight="1">
      <c r="A371" s="105"/>
      <c r="B371" s="119"/>
      <c r="C371" s="456" t="s">
        <v>216</v>
      </c>
      <c r="D371" s="244">
        <v>58619.152000000002</v>
      </c>
      <c r="E371" s="244">
        <f>P371/1000</f>
        <v>58619.152000000002</v>
      </c>
      <c r="F371" s="455"/>
      <c r="G371" s="246">
        <f>+E371-D371</f>
        <v>0</v>
      </c>
      <c r="H371" s="247">
        <f>+G371/D371*100</f>
        <v>0</v>
      </c>
      <c r="I371" s="157" t="s">
        <v>36</v>
      </c>
      <c r="J371" s="114">
        <v>29309576</v>
      </c>
      <c r="K371" s="115" t="s">
        <v>245</v>
      </c>
      <c r="L371" s="137" t="s">
        <v>251</v>
      </c>
      <c r="M371" s="116">
        <v>2</v>
      </c>
      <c r="N371" s="116" t="s">
        <v>255</v>
      </c>
      <c r="O371" s="138" t="s">
        <v>257</v>
      </c>
      <c r="P371" s="114">
        <f>SUM(J371*M371)</f>
        <v>58619152</v>
      </c>
      <c r="Q371" s="17" t="s">
        <v>245</v>
      </c>
    </row>
    <row r="372" spans="1:17" ht="17.45" customHeight="1">
      <c r="A372" s="292"/>
      <c r="B372" s="106"/>
      <c r="C372" s="453" t="s">
        <v>105</v>
      </c>
      <c r="D372" s="244">
        <v>15000</v>
      </c>
      <c r="E372" s="244">
        <f t="shared" si="35"/>
        <v>15000</v>
      </c>
      <c r="F372" s="455"/>
      <c r="G372" s="246">
        <f t="shared" si="36"/>
        <v>0</v>
      </c>
      <c r="H372" s="247">
        <f t="shared" si="37"/>
        <v>0</v>
      </c>
      <c r="I372" s="157" t="s">
        <v>36</v>
      </c>
      <c r="J372" s="114">
        <v>3750000</v>
      </c>
      <c r="K372" s="115" t="s">
        <v>245</v>
      </c>
      <c r="L372" s="137" t="s">
        <v>251</v>
      </c>
      <c r="M372" s="116">
        <v>4</v>
      </c>
      <c r="N372" s="116" t="s">
        <v>255</v>
      </c>
      <c r="O372" s="138" t="s">
        <v>257</v>
      </c>
      <c r="P372" s="114">
        <f t="shared" si="38"/>
        <v>15000000</v>
      </c>
      <c r="Q372" s="17" t="s">
        <v>245</v>
      </c>
    </row>
    <row r="373" spans="1:17" ht="17.45" customHeight="1">
      <c r="A373" s="292"/>
      <c r="B373" s="106"/>
      <c r="C373" s="456" t="s">
        <v>339</v>
      </c>
      <c r="D373" s="244">
        <v>110000</v>
      </c>
      <c r="E373" s="244">
        <f t="shared" si="35"/>
        <v>110000</v>
      </c>
      <c r="F373" s="455"/>
      <c r="G373" s="246">
        <f t="shared" si="36"/>
        <v>0</v>
      </c>
      <c r="H373" s="247">
        <f t="shared" si="37"/>
        <v>0</v>
      </c>
      <c r="I373" s="172" t="s">
        <v>151</v>
      </c>
      <c r="J373" s="173">
        <v>110000000</v>
      </c>
      <c r="K373" s="115" t="s">
        <v>245</v>
      </c>
      <c r="L373" s="137" t="s">
        <v>251</v>
      </c>
      <c r="M373" s="16">
        <v>1</v>
      </c>
      <c r="N373" s="16" t="s">
        <v>255</v>
      </c>
      <c r="O373" s="138" t="s">
        <v>257</v>
      </c>
      <c r="P373" s="173">
        <f t="shared" si="38"/>
        <v>110000000</v>
      </c>
      <c r="Q373" s="175" t="s">
        <v>245</v>
      </c>
    </row>
    <row r="374" spans="1:17" ht="21.75" customHeight="1">
      <c r="A374" s="444" t="s">
        <v>283</v>
      </c>
      <c r="B374" s="440" t="s">
        <v>265</v>
      </c>
      <c r="C374" s="474"/>
      <c r="D374" s="475">
        <f>SUM(D375:D386)</f>
        <v>4399979</v>
      </c>
      <c r="E374" s="476">
        <f>SUM(E375:E386)</f>
        <v>4592880.8820000002</v>
      </c>
      <c r="F374" s="476">
        <f>SUM(F376:F378)</f>
        <v>0</v>
      </c>
      <c r="G374" s="477">
        <f t="shared" si="36"/>
        <v>192901.88200000022</v>
      </c>
      <c r="H374" s="478">
        <f>+G374/D374*100</f>
        <v>4.3841546061924435</v>
      </c>
      <c r="I374" s="182"/>
      <c r="J374" s="126"/>
      <c r="K374" s="127"/>
      <c r="L374" s="128"/>
      <c r="M374" s="128" t="s">
        <v>253</v>
      </c>
      <c r="N374" s="128"/>
      <c r="O374" s="128"/>
      <c r="P374" s="126">
        <f>SUM(P375,P379,P383)</f>
        <v>4592880882</v>
      </c>
      <c r="Q374" s="129" t="s">
        <v>245</v>
      </c>
    </row>
    <row r="375" spans="1:17" ht="18.75" customHeight="1">
      <c r="A375" s="391" t="s">
        <v>181</v>
      </c>
      <c r="B375" s="479" t="s">
        <v>460</v>
      </c>
      <c r="C375" s="226" t="s">
        <v>283</v>
      </c>
      <c r="D375" s="480">
        <v>4373690</v>
      </c>
      <c r="E375" s="481">
        <f>P375/1000</f>
        <v>0</v>
      </c>
      <c r="F375" s="482"/>
      <c r="G375" s="122">
        <f>E375-D375</f>
        <v>-4373690</v>
      </c>
      <c r="H375" s="124">
        <f>G375/D375*100</f>
        <v>-100</v>
      </c>
      <c r="I375" s="158"/>
      <c r="J375" s="126"/>
      <c r="K375" s="127"/>
      <c r="L375" s="128"/>
      <c r="M375" s="128"/>
      <c r="N375" s="128"/>
      <c r="O375" s="128"/>
      <c r="P375" s="126">
        <f>SUM(P376:P378)</f>
        <v>0</v>
      </c>
      <c r="Q375" s="129" t="s">
        <v>245</v>
      </c>
    </row>
    <row r="376" spans="1:17" ht="16.5" customHeight="1">
      <c r="A376" s="105"/>
      <c r="B376" s="483"/>
      <c r="C376" s="229"/>
      <c r="D376" s="484"/>
      <c r="E376" s="485"/>
      <c r="F376" s="482"/>
      <c r="G376" s="133"/>
      <c r="H376" s="135"/>
      <c r="I376" s="486" t="s">
        <v>441</v>
      </c>
      <c r="J376" s="114">
        <v>0</v>
      </c>
      <c r="K376" s="115" t="s">
        <v>245</v>
      </c>
      <c r="L376" s="137" t="s">
        <v>251</v>
      </c>
      <c r="M376" s="116">
        <v>1</v>
      </c>
      <c r="N376" s="116" t="s">
        <v>255</v>
      </c>
      <c r="O376" s="138" t="s">
        <v>257</v>
      </c>
      <c r="P376" s="114">
        <f>+J376*M376</f>
        <v>0</v>
      </c>
      <c r="Q376" s="17" t="s">
        <v>245</v>
      </c>
    </row>
    <row r="377" spans="1:17" ht="16.5" customHeight="1">
      <c r="A377" s="105"/>
      <c r="B377" s="483"/>
      <c r="C377" s="229"/>
      <c r="D377" s="484"/>
      <c r="E377" s="485"/>
      <c r="F377" s="487"/>
      <c r="G377" s="133"/>
      <c r="H377" s="135"/>
      <c r="I377" s="488" t="s">
        <v>107</v>
      </c>
      <c r="J377" s="114">
        <v>0</v>
      </c>
      <c r="K377" s="115" t="s">
        <v>245</v>
      </c>
      <c r="L377" s="137" t="s">
        <v>251</v>
      </c>
      <c r="M377" s="116">
        <v>1</v>
      </c>
      <c r="N377" s="116" t="s">
        <v>255</v>
      </c>
      <c r="O377" s="138" t="s">
        <v>257</v>
      </c>
      <c r="P377" s="114">
        <f>+J377*M377</f>
        <v>0</v>
      </c>
      <c r="Q377" s="17" t="s">
        <v>245</v>
      </c>
    </row>
    <row r="378" spans="1:17" ht="16.5" customHeight="1">
      <c r="A378" s="105"/>
      <c r="B378" s="483"/>
      <c r="C378" s="294"/>
      <c r="D378" s="489"/>
      <c r="E378" s="490"/>
      <c r="F378" s="299"/>
      <c r="G378" s="144"/>
      <c r="H378" s="145"/>
      <c r="I378" s="491" t="s">
        <v>113</v>
      </c>
      <c r="J378" s="492">
        <v>0</v>
      </c>
      <c r="K378" s="14" t="s">
        <v>245</v>
      </c>
      <c r="L378" s="15" t="s">
        <v>251</v>
      </c>
      <c r="M378" s="16">
        <v>1</v>
      </c>
      <c r="N378" s="16" t="s">
        <v>255</v>
      </c>
      <c r="O378" s="178" t="s">
        <v>257</v>
      </c>
      <c r="P378" s="173">
        <f>+J378*M378</f>
        <v>0</v>
      </c>
      <c r="Q378" s="175" t="s">
        <v>245</v>
      </c>
    </row>
    <row r="379" spans="1:17" ht="18.75" customHeight="1">
      <c r="A379" s="391"/>
      <c r="B379" s="483"/>
      <c r="C379" s="226" t="s">
        <v>531</v>
      </c>
      <c r="D379" s="480">
        <v>0</v>
      </c>
      <c r="E379" s="481">
        <f>P379/1000</f>
        <v>4559304.4220000003</v>
      </c>
      <c r="F379" s="482"/>
      <c r="G379" s="122">
        <f>E379-D379</f>
        <v>4559304.4220000003</v>
      </c>
      <c r="H379" s="124" t="s">
        <v>534</v>
      </c>
      <c r="I379" s="158"/>
      <c r="J379" s="126"/>
      <c r="K379" s="127"/>
      <c r="L379" s="128"/>
      <c r="M379" s="128"/>
      <c r="N379" s="128"/>
      <c r="O379" s="128"/>
      <c r="P379" s="126">
        <f>SUM(P380:P382)</f>
        <v>4559304422</v>
      </c>
      <c r="Q379" s="129" t="s">
        <v>245</v>
      </c>
    </row>
    <row r="380" spans="1:17" ht="16.5" customHeight="1">
      <c r="A380" s="105"/>
      <c r="B380" s="483"/>
      <c r="C380" s="229"/>
      <c r="D380" s="484"/>
      <c r="E380" s="485"/>
      <c r="F380" s="482"/>
      <c r="G380" s="133"/>
      <c r="H380" s="135"/>
      <c r="I380" s="486" t="s">
        <v>532</v>
      </c>
      <c r="J380" s="114">
        <v>1625235473</v>
      </c>
      <c r="K380" s="115" t="s">
        <v>245</v>
      </c>
      <c r="L380" s="137" t="s">
        <v>251</v>
      </c>
      <c r="M380" s="116">
        <v>1</v>
      </c>
      <c r="N380" s="116" t="s">
        <v>255</v>
      </c>
      <c r="O380" s="138" t="s">
        <v>257</v>
      </c>
      <c r="P380" s="114">
        <f>+J380*M380</f>
        <v>1625235473</v>
      </c>
      <c r="Q380" s="17" t="s">
        <v>245</v>
      </c>
    </row>
    <row r="381" spans="1:17" ht="16.5" customHeight="1">
      <c r="A381" s="105"/>
      <c r="B381" s="483"/>
      <c r="C381" s="229"/>
      <c r="D381" s="484"/>
      <c r="E381" s="485"/>
      <c r="F381" s="487"/>
      <c r="G381" s="133"/>
      <c r="H381" s="135"/>
      <c r="I381" s="488" t="s">
        <v>533</v>
      </c>
      <c r="J381" s="114">
        <v>863412840</v>
      </c>
      <c r="K381" s="115" t="s">
        <v>245</v>
      </c>
      <c r="L381" s="137" t="s">
        <v>251</v>
      </c>
      <c r="M381" s="116">
        <v>1</v>
      </c>
      <c r="N381" s="116" t="s">
        <v>255</v>
      </c>
      <c r="O381" s="138" t="s">
        <v>257</v>
      </c>
      <c r="P381" s="114">
        <f>+J381*M381</f>
        <v>863412840</v>
      </c>
      <c r="Q381" s="17" t="s">
        <v>245</v>
      </c>
    </row>
    <row r="382" spans="1:17" ht="16.5" customHeight="1">
      <c r="A382" s="105"/>
      <c r="B382" s="483"/>
      <c r="C382" s="294"/>
      <c r="D382" s="489"/>
      <c r="E382" s="490"/>
      <c r="F382" s="299"/>
      <c r="G382" s="144"/>
      <c r="H382" s="145"/>
      <c r="I382" s="491" t="s">
        <v>531</v>
      </c>
      <c r="J382" s="492">
        <v>2070656109</v>
      </c>
      <c r="K382" s="14" t="s">
        <v>245</v>
      </c>
      <c r="L382" s="15" t="s">
        <v>251</v>
      </c>
      <c r="M382" s="16">
        <v>1</v>
      </c>
      <c r="N382" s="16" t="s">
        <v>255</v>
      </c>
      <c r="O382" s="178" t="s">
        <v>257</v>
      </c>
      <c r="P382" s="173">
        <f>+J382*M382</f>
        <v>2070656109</v>
      </c>
      <c r="Q382" s="175" t="s">
        <v>245</v>
      </c>
    </row>
    <row r="383" spans="1:17" ht="16.5" customHeight="1">
      <c r="A383" s="105"/>
      <c r="B383" s="483"/>
      <c r="C383" s="226" t="s">
        <v>272</v>
      </c>
      <c r="D383" s="481">
        <v>26289</v>
      </c>
      <c r="E383" s="148">
        <f>P383/1000</f>
        <v>33576.46</v>
      </c>
      <c r="F383" s="493"/>
      <c r="G383" s="122">
        <f>E383-D383</f>
        <v>7287.4599999999991</v>
      </c>
      <c r="H383" s="151">
        <f>G383/D383*100</f>
        <v>27.720567537753432</v>
      </c>
      <c r="I383" s="158"/>
      <c r="J383" s="259"/>
      <c r="K383" s="127"/>
      <c r="L383" s="222"/>
      <c r="M383" s="128" t="s">
        <v>253</v>
      </c>
      <c r="N383" s="128"/>
      <c r="O383" s="128"/>
      <c r="P383" s="126">
        <f>SUM(P384:P386)</f>
        <v>33576460</v>
      </c>
      <c r="Q383" s="129" t="s">
        <v>245</v>
      </c>
    </row>
    <row r="384" spans="1:17" ht="16.5" customHeight="1">
      <c r="A384" s="105"/>
      <c r="B384" s="483"/>
      <c r="C384" s="229"/>
      <c r="D384" s="485"/>
      <c r="E384" s="153"/>
      <c r="F384" s="494"/>
      <c r="G384" s="133"/>
      <c r="H384" s="156"/>
      <c r="I384" s="225" t="s">
        <v>17</v>
      </c>
      <c r="J384" s="293">
        <v>25717410</v>
      </c>
      <c r="K384" s="115" t="s">
        <v>245</v>
      </c>
      <c r="L384" s="137" t="s">
        <v>251</v>
      </c>
      <c r="M384" s="116">
        <v>1</v>
      </c>
      <c r="N384" s="116" t="s">
        <v>255</v>
      </c>
      <c r="O384" s="138" t="s">
        <v>257</v>
      </c>
      <c r="P384" s="200">
        <f>+J384*M384</f>
        <v>25717410</v>
      </c>
      <c r="Q384" s="17" t="s">
        <v>245</v>
      </c>
    </row>
    <row r="385" spans="1:17" ht="16.5" customHeight="1">
      <c r="A385" s="105"/>
      <c r="B385" s="483"/>
      <c r="C385" s="229"/>
      <c r="D385" s="485"/>
      <c r="E385" s="153"/>
      <c r="F385" s="494"/>
      <c r="G385" s="133"/>
      <c r="H385" s="156"/>
      <c r="I385" s="225" t="s">
        <v>19</v>
      </c>
      <c r="J385" s="293">
        <v>571800</v>
      </c>
      <c r="K385" s="115" t="s">
        <v>245</v>
      </c>
      <c r="L385" s="137" t="s">
        <v>251</v>
      </c>
      <c r="M385" s="116">
        <v>1</v>
      </c>
      <c r="N385" s="116" t="s">
        <v>255</v>
      </c>
      <c r="O385" s="138" t="s">
        <v>257</v>
      </c>
      <c r="P385" s="200">
        <f>+J385*M385</f>
        <v>571800</v>
      </c>
      <c r="Q385" s="17" t="s">
        <v>245</v>
      </c>
    </row>
    <row r="386" spans="1:17" ht="16.5" customHeight="1" thickBot="1">
      <c r="A386" s="495"/>
      <c r="B386" s="496"/>
      <c r="C386" s="497"/>
      <c r="D386" s="498"/>
      <c r="E386" s="499"/>
      <c r="F386" s="500"/>
      <c r="G386" s="501"/>
      <c r="H386" s="502"/>
      <c r="I386" s="503" t="s">
        <v>529</v>
      </c>
      <c r="J386" s="504">
        <v>7287250</v>
      </c>
      <c r="K386" s="505" t="s">
        <v>245</v>
      </c>
      <c r="L386" s="506" t="s">
        <v>251</v>
      </c>
      <c r="M386" s="507">
        <v>1</v>
      </c>
      <c r="N386" s="507" t="s">
        <v>255</v>
      </c>
      <c r="O386" s="508" t="s">
        <v>257</v>
      </c>
      <c r="P386" s="509">
        <f>+J386*M386</f>
        <v>7287250</v>
      </c>
      <c r="Q386" s="510" t="s">
        <v>245</v>
      </c>
    </row>
    <row r="387" spans="1:17">
      <c r="A387" s="511"/>
      <c r="B387" s="512"/>
      <c r="C387" s="512"/>
      <c r="D387" s="513"/>
      <c r="E387" s="511"/>
      <c r="G387" s="514"/>
      <c r="H387" s="515"/>
      <c r="I387" s="516"/>
      <c r="J387" s="114"/>
      <c r="K387" s="115"/>
      <c r="L387" s="116"/>
      <c r="M387" s="116"/>
      <c r="N387" s="116"/>
      <c r="O387" s="116"/>
      <c r="P387" s="114"/>
      <c r="Q387" s="115"/>
    </row>
    <row r="388" spans="1:17">
      <c r="A388" s="511"/>
      <c r="B388" s="512"/>
      <c r="C388" s="512"/>
      <c r="D388" s="513"/>
      <c r="E388" s="511"/>
      <c r="G388" s="514"/>
      <c r="H388" s="515"/>
      <c r="I388" s="517"/>
      <c r="J388" s="114"/>
      <c r="K388" s="115"/>
      <c r="L388" s="116"/>
      <c r="M388" s="116"/>
      <c r="N388" s="116"/>
      <c r="O388" s="116"/>
      <c r="P388" s="114"/>
      <c r="Q388" s="115"/>
    </row>
    <row r="389" spans="1:17" ht="9.75" customHeight="1">
      <c r="A389" s="511"/>
      <c r="G389" s="514"/>
      <c r="H389" s="515"/>
      <c r="I389" s="180"/>
    </row>
    <row r="390" spans="1:17" ht="21.75" customHeight="1">
      <c r="G390" s="514"/>
      <c r="H390" s="515"/>
      <c r="I390" s="180"/>
    </row>
    <row r="392" spans="1:17">
      <c r="I392" s="518"/>
    </row>
    <row r="393" spans="1:17">
      <c r="I393" s="518"/>
    </row>
  </sheetData>
  <mergeCells count="402">
    <mergeCell ref="C379:C382"/>
    <mergeCell ref="D379:D382"/>
    <mergeCell ref="E379:E382"/>
    <mergeCell ref="G379:G382"/>
    <mergeCell ref="H379:H382"/>
    <mergeCell ref="B375:B386"/>
    <mergeCell ref="G67:G74"/>
    <mergeCell ref="G81:G83"/>
    <mergeCell ref="H79:H80"/>
    <mergeCell ref="H81:H83"/>
    <mergeCell ref="H215:H217"/>
    <mergeCell ref="H209:H210"/>
    <mergeCell ref="G102:G103"/>
    <mergeCell ref="H164:H168"/>
    <mergeCell ref="G383:G386"/>
    <mergeCell ref="H375:H378"/>
    <mergeCell ref="G375:G378"/>
    <mergeCell ref="G269:G270"/>
    <mergeCell ref="G219:G226"/>
    <mergeCell ref="H247:H252"/>
    <mergeCell ref="G271:G272"/>
    <mergeCell ref="H269:H270"/>
    <mergeCell ref="H241:H245"/>
    <mergeCell ref="G228:G233"/>
    <mergeCell ref="M215:O215"/>
    <mergeCell ref="G142:G144"/>
    <mergeCell ref="H142:H144"/>
    <mergeCell ref="F116:F119"/>
    <mergeCell ref="G116:G119"/>
    <mergeCell ref="H120:H123"/>
    <mergeCell ref="F172:F197"/>
    <mergeCell ref="F198:F200"/>
    <mergeCell ref="F164:F168"/>
    <mergeCell ref="G215:G217"/>
    <mergeCell ref="F145:F146"/>
    <mergeCell ref="F127:F129"/>
    <mergeCell ref="F131:F141"/>
    <mergeCell ref="M94:O94"/>
    <mergeCell ref="M87:O87"/>
    <mergeCell ref="M88:O88"/>
    <mergeCell ref="M131:O131"/>
    <mergeCell ref="M104:O104"/>
    <mergeCell ref="G97:G101"/>
    <mergeCell ref="G172:G197"/>
    <mergeCell ref="G198:G201"/>
    <mergeCell ref="G212:G214"/>
    <mergeCell ref="G145:G146"/>
    <mergeCell ref="G94:G96"/>
    <mergeCell ref="H97:H101"/>
    <mergeCell ref="G153:G161"/>
    <mergeCell ref="H153:H161"/>
    <mergeCell ref="M172:O172"/>
    <mergeCell ref="G164:G168"/>
    <mergeCell ref="M130:O130"/>
    <mergeCell ref="G29:G35"/>
    <mergeCell ref="G110:G111"/>
    <mergeCell ref="H113:H115"/>
    <mergeCell ref="F113:F115"/>
    <mergeCell ref="G37:G39"/>
    <mergeCell ref="H40:H42"/>
    <mergeCell ref="H37:H39"/>
    <mergeCell ref="G40:G42"/>
    <mergeCell ref="H50:H51"/>
    <mergeCell ref="F79:F80"/>
    <mergeCell ref="H67:H74"/>
    <mergeCell ref="F84:F85"/>
    <mergeCell ref="G75:G77"/>
    <mergeCell ref="H63:H66"/>
    <mergeCell ref="H59:H62"/>
    <mergeCell ref="G84:G85"/>
    <mergeCell ref="G79:G80"/>
    <mergeCell ref="H84:H85"/>
    <mergeCell ref="F97:F101"/>
    <mergeCell ref="H88:H93"/>
    <mergeCell ref="G88:G93"/>
    <mergeCell ref="F88:F93"/>
    <mergeCell ref="F94:F96"/>
    <mergeCell ref="F81:F82"/>
    <mergeCell ref="E50:E51"/>
    <mergeCell ref="F147:F148"/>
    <mergeCell ref="E113:E115"/>
    <mergeCell ref="E29:E35"/>
    <mergeCell ref="A1:B1"/>
    <mergeCell ref="D234:D236"/>
    <mergeCell ref="A2:B2"/>
    <mergeCell ref="A3:A4"/>
    <mergeCell ref="B6:C6"/>
    <mergeCell ref="C124:C126"/>
    <mergeCell ref="D145:D146"/>
    <mergeCell ref="D40:D42"/>
    <mergeCell ref="C29:C35"/>
    <mergeCell ref="D84:D85"/>
    <mergeCell ref="C102:C103"/>
    <mergeCell ref="C50:C51"/>
    <mergeCell ref="C43:C48"/>
    <mergeCell ref="C97:C101"/>
    <mergeCell ref="C84:C85"/>
    <mergeCell ref="C94:C96"/>
    <mergeCell ref="C23:C28"/>
    <mergeCell ref="C13:C20"/>
    <mergeCell ref="C40:C42"/>
    <mergeCell ref="C37:C39"/>
    <mergeCell ref="O2:Q2"/>
    <mergeCell ref="G3:H3"/>
    <mergeCell ref="F3:F4"/>
    <mergeCell ref="M13:O13"/>
    <mergeCell ref="H102:H103"/>
    <mergeCell ref="F153:F159"/>
    <mergeCell ref="H131:H141"/>
    <mergeCell ref="M113:O113"/>
    <mergeCell ref="G113:G115"/>
    <mergeCell ref="H116:H119"/>
    <mergeCell ref="H110:H111"/>
    <mergeCell ref="G104:G109"/>
    <mergeCell ref="H104:H109"/>
    <mergeCell ref="M110:O110"/>
    <mergeCell ref="H127:H129"/>
    <mergeCell ref="F120:F122"/>
    <mergeCell ref="M116:O116"/>
    <mergeCell ref="G124:G126"/>
    <mergeCell ref="H124:H126"/>
    <mergeCell ref="M120:O120"/>
    <mergeCell ref="G120:G123"/>
    <mergeCell ref="G131:G141"/>
    <mergeCell ref="M142:O142"/>
    <mergeCell ref="F142:F143"/>
    <mergeCell ref="M228:O228"/>
    <mergeCell ref="E375:E378"/>
    <mergeCell ref="H253:H256"/>
    <mergeCell ref="G238:G240"/>
    <mergeCell ref="F271:F272"/>
    <mergeCell ref="G247:G252"/>
    <mergeCell ref="E271:E272"/>
    <mergeCell ref="E253:E256"/>
    <mergeCell ref="E241:E245"/>
    <mergeCell ref="M238:O238"/>
    <mergeCell ref="M234:O234"/>
    <mergeCell ref="I258:J258"/>
    <mergeCell ref="F228:F229"/>
    <mergeCell ref="M247:O247"/>
    <mergeCell ref="M263:O263"/>
    <mergeCell ref="M241:O241"/>
    <mergeCell ref="M271:O271"/>
    <mergeCell ref="M253:O253"/>
    <mergeCell ref="M269:O269"/>
    <mergeCell ref="E269:E270"/>
    <mergeCell ref="M258:O258"/>
    <mergeCell ref="F258:F259"/>
    <mergeCell ref="F234:F236"/>
    <mergeCell ref="F241:F245"/>
    <mergeCell ref="H228:H233"/>
    <mergeCell ref="G234:G236"/>
    <mergeCell ref="H258:H261"/>
    <mergeCell ref="H219:H226"/>
    <mergeCell ref="H271:H272"/>
    <mergeCell ref="H238:H240"/>
    <mergeCell ref="G263:G267"/>
    <mergeCell ref="H263:H267"/>
    <mergeCell ref="G258:G261"/>
    <mergeCell ref="H234:H236"/>
    <mergeCell ref="G253:G256"/>
    <mergeCell ref="G241:G245"/>
    <mergeCell ref="E383:E386"/>
    <mergeCell ref="M212:O212"/>
    <mergeCell ref="M127:O127"/>
    <mergeCell ref="M97:O97"/>
    <mergeCell ref="M112:O112"/>
    <mergeCell ref="M171:O171"/>
    <mergeCell ref="M203:O203"/>
    <mergeCell ref="M124:O124"/>
    <mergeCell ref="H383:H386"/>
    <mergeCell ref="F215:F217"/>
    <mergeCell ref="H94:H96"/>
    <mergeCell ref="M153:O153"/>
    <mergeCell ref="M169:O169"/>
    <mergeCell ref="G169:G170"/>
    <mergeCell ref="G162:G163"/>
    <mergeCell ref="M147:O147"/>
    <mergeCell ref="H145:H146"/>
    <mergeCell ref="H147:H151"/>
    <mergeCell ref="G147:G151"/>
    <mergeCell ref="M164:O164"/>
    <mergeCell ref="M145:O145"/>
    <mergeCell ref="M102:O102"/>
    <mergeCell ref="G127:G129"/>
    <mergeCell ref="D269:D270"/>
    <mergeCell ref="B130:B131"/>
    <mergeCell ref="C131:C141"/>
    <mergeCell ref="D131:D141"/>
    <mergeCell ref="E238:E240"/>
    <mergeCell ref="C172:C197"/>
    <mergeCell ref="C219:C226"/>
    <mergeCell ref="C228:C233"/>
    <mergeCell ref="E215:E217"/>
    <mergeCell ref="E172:E197"/>
    <mergeCell ref="D203:D208"/>
    <mergeCell ref="E198:E201"/>
    <mergeCell ref="D198:D201"/>
    <mergeCell ref="D212:D214"/>
    <mergeCell ref="E212:E214"/>
    <mergeCell ref="D172:D197"/>
    <mergeCell ref="D169:D170"/>
    <mergeCell ref="E164:E168"/>
    <mergeCell ref="E162:E163"/>
    <mergeCell ref="C169:C170"/>
    <mergeCell ref="C263:C267"/>
    <mergeCell ref="E145:E146"/>
    <mergeCell ref="C198:C201"/>
    <mergeCell ref="C212:C214"/>
    <mergeCell ref="F247:F251"/>
    <mergeCell ref="B218:B219"/>
    <mergeCell ref="B262:C262"/>
    <mergeCell ref="D238:D240"/>
    <mergeCell ref="C247:C252"/>
    <mergeCell ref="C238:C240"/>
    <mergeCell ref="D258:D261"/>
    <mergeCell ref="E258:E261"/>
    <mergeCell ref="C258:C261"/>
    <mergeCell ref="D219:D226"/>
    <mergeCell ref="E234:E236"/>
    <mergeCell ref="B87:B89"/>
    <mergeCell ref="B86:C86"/>
    <mergeCell ref="C81:C83"/>
    <mergeCell ref="C113:C115"/>
    <mergeCell ref="D97:D101"/>
    <mergeCell ref="C164:C168"/>
    <mergeCell ref="D164:D168"/>
    <mergeCell ref="D147:D151"/>
    <mergeCell ref="C147:C151"/>
    <mergeCell ref="C104:C109"/>
    <mergeCell ref="D104:D109"/>
    <mergeCell ref="D127:D129"/>
    <mergeCell ref="C116:C119"/>
    <mergeCell ref="C145:C146"/>
    <mergeCell ref="D162:D163"/>
    <mergeCell ref="C162:C163"/>
    <mergeCell ref="D124:D126"/>
    <mergeCell ref="C127:C129"/>
    <mergeCell ref="C142:C144"/>
    <mergeCell ref="D142:D144"/>
    <mergeCell ref="E40:E42"/>
    <mergeCell ref="D37:D39"/>
    <mergeCell ref="E43:E48"/>
    <mergeCell ref="C52:C58"/>
    <mergeCell ref="D50:D51"/>
    <mergeCell ref="D43:D48"/>
    <mergeCell ref="D23:D28"/>
    <mergeCell ref="D29:D35"/>
    <mergeCell ref="C383:C386"/>
    <mergeCell ref="C375:C378"/>
    <mergeCell ref="B273:C273"/>
    <mergeCell ref="D375:D378"/>
    <mergeCell ref="B374:C374"/>
    <mergeCell ref="D383:D386"/>
    <mergeCell ref="D271:D272"/>
    <mergeCell ref="C234:C236"/>
    <mergeCell ref="C271:C272"/>
    <mergeCell ref="D241:D245"/>
    <mergeCell ref="C269:C270"/>
    <mergeCell ref="C241:C245"/>
    <mergeCell ref="D253:D256"/>
    <mergeCell ref="C253:C256"/>
    <mergeCell ref="B268:C268"/>
    <mergeCell ref="B78:C78"/>
    <mergeCell ref="C3:C4"/>
    <mergeCell ref="D3:D4"/>
    <mergeCell ref="F13:F19"/>
    <mergeCell ref="D21:D22"/>
    <mergeCell ref="C21:C22"/>
    <mergeCell ref="E3:E4"/>
    <mergeCell ref="A5:C5"/>
    <mergeCell ref="C8:C12"/>
    <mergeCell ref="D8:D12"/>
    <mergeCell ref="B3:B4"/>
    <mergeCell ref="H43:H48"/>
    <mergeCell ref="M52:O52"/>
    <mergeCell ref="I3:Q4"/>
    <mergeCell ref="D13:D20"/>
    <mergeCell ref="G13:G20"/>
    <mergeCell ref="E8:E12"/>
    <mergeCell ref="G8:G12"/>
    <mergeCell ref="E13:E20"/>
    <mergeCell ref="E23:E28"/>
    <mergeCell ref="E21:E22"/>
    <mergeCell ref="F23:F28"/>
    <mergeCell ref="M24:N24"/>
    <mergeCell ref="M25:N25"/>
    <mergeCell ref="M21:O21"/>
    <mergeCell ref="H21:H22"/>
    <mergeCell ref="M26:N26"/>
    <mergeCell ref="F21:F22"/>
    <mergeCell ref="G21:G22"/>
    <mergeCell ref="H23:H28"/>
    <mergeCell ref="H13:H20"/>
    <mergeCell ref="H8:H12"/>
    <mergeCell ref="M27:N27"/>
    <mergeCell ref="M23:O23"/>
    <mergeCell ref="G23:G28"/>
    <mergeCell ref="M37:O37"/>
    <mergeCell ref="M40:O40"/>
    <mergeCell ref="H75:H77"/>
    <mergeCell ref="M67:O67"/>
    <mergeCell ref="M63:O63"/>
    <mergeCell ref="F29:F34"/>
    <mergeCell ref="F37:F39"/>
    <mergeCell ref="M59:O59"/>
    <mergeCell ref="M28:N28"/>
    <mergeCell ref="F59:F62"/>
    <mergeCell ref="M43:O43"/>
    <mergeCell ref="H29:H35"/>
    <mergeCell ref="F50:F51"/>
    <mergeCell ref="G50:G51"/>
    <mergeCell ref="G43:G48"/>
    <mergeCell ref="F43:F48"/>
    <mergeCell ref="M75:O75"/>
    <mergeCell ref="F52:F58"/>
    <mergeCell ref="F63:F66"/>
    <mergeCell ref="F75:F77"/>
    <mergeCell ref="G63:G66"/>
    <mergeCell ref="H52:H58"/>
    <mergeCell ref="G52:G58"/>
    <mergeCell ref="G59:G62"/>
    <mergeCell ref="E59:E62"/>
    <mergeCell ref="D59:D62"/>
    <mergeCell ref="E52:E58"/>
    <mergeCell ref="E79:E80"/>
    <mergeCell ref="D75:D77"/>
    <mergeCell ref="D79:D80"/>
    <mergeCell ref="E75:E77"/>
    <mergeCell ref="C67:C74"/>
    <mergeCell ref="D67:D74"/>
    <mergeCell ref="E67:E74"/>
    <mergeCell ref="C75:C77"/>
    <mergeCell ref="C59:C62"/>
    <mergeCell ref="C63:C66"/>
    <mergeCell ref="D63:D66"/>
    <mergeCell ref="C79:C80"/>
    <mergeCell ref="E37:E39"/>
    <mergeCell ref="D52:D58"/>
    <mergeCell ref="E97:E101"/>
    <mergeCell ref="E102:E103"/>
    <mergeCell ref="D113:D115"/>
    <mergeCell ref="D116:D119"/>
    <mergeCell ref="E84:E85"/>
    <mergeCell ref="C110:C111"/>
    <mergeCell ref="C120:C123"/>
    <mergeCell ref="D120:D123"/>
    <mergeCell ref="E116:E119"/>
    <mergeCell ref="E94:E96"/>
    <mergeCell ref="E110:E111"/>
    <mergeCell ref="E104:E109"/>
    <mergeCell ref="E120:E123"/>
    <mergeCell ref="E81:E83"/>
    <mergeCell ref="D81:D83"/>
    <mergeCell ref="D94:D96"/>
    <mergeCell ref="E88:E93"/>
    <mergeCell ref="D110:D111"/>
    <mergeCell ref="D102:D103"/>
    <mergeCell ref="C88:C93"/>
    <mergeCell ref="D88:D93"/>
    <mergeCell ref="E63:E66"/>
    <mergeCell ref="C215:C217"/>
    <mergeCell ref="D247:D252"/>
    <mergeCell ref="E124:E126"/>
    <mergeCell ref="E127:E129"/>
    <mergeCell ref="E131:E141"/>
    <mergeCell ref="C203:C208"/>
    <mergeCell ref="C209:C210"/>
    <mergeCell ref="D209:D210"/>
    <mergeCell ref="D215:D217"/>
    <mergeCell ref="E169:E170"/>
    <mergeCell ref="E142:E144"/>
    <mergeCell ref="C153:C161"/>
    <mergeCell ref="E153:E161"/>
    <mergeCell ref="D153:D161"/>
    <mergeCell ref="D228:D233"/>
    <mergeCell ref="E228:E233"/>
    <mergeCell ref="E247:E252"/>
    <mergeCell ref="D263:D267"/>
    <mergeCell ref="E263:E267"/>
    <mergeCell ref="M219:O219"/>
    <mergeCell ref="E219:E226"/>
    <mergeCell ref="E147:E151"/>
    <mergeCell ref="F209:F210"/>
    <mergeCell ref="E209:E210"/>
    <mergeCell ref="M198:O198"/>
    <mergeCell ref="F212:F214"/>
    <mergeCell ref="H162:H163"/>
    <mergeCell ref="H169:H170"/>
    <mergeCell ref="M209:O209"/>
    <mergeCell ref="H212:H214"/>
    <mergeCell ref="H203:H208"/>
    <mergeCell ref="H198:H201"/>
    <mergeCell ref="I193:J193"/>
    <mergeCell ref="G209:G210"/>
    <mergeCell ref="F219:F222"/>
    <mergeCell ref="F203:F208"/>
    <mergeCell ref="G203:G208"/>
    <mergeCell ref="E203:E208"/>
    <mergeCell ref="H172:H197"/>
    <mergeCell ref="F253:F256"/>
    <mergeCell ref="F238:F240"/>
  </mergeCells>
  <phoneticPr fontId="7" type="noConversion"/>
  <pageMargins left="0.19685039370078741" right="0.19685039370078741" top="0.47244094488188981" bottom="0.19685039370078741" header="0.39370078740157483" footer="0.19685039370078741"/>
  <pageSetup paperSize="9" scale="90" firstPageNumber="5" fitToWidth="14" fitToHeight="14" orientation="landscape" useFirstPageNumber="1" r:id="rId1"/>
  <headerFooter>
    <oddFooter>&amp;C&amp;"맑은 고딕,Regular"&amp;P</oddFooter>
  </headerFooter>
  <rowBreaks count="12" manualBreakCount="12">
    <brk id="35" max="1048575" man="1"/>
    <brk id="66" max="1048575" man="1"/>
    <brk id="96" max="1048575" man="1"/>
    <brk id="129" max="16" man="1"/>
    <brk id="163" max="16" man="1"/>
    <brk id="197" max="16" man="1"/>
    <brk id="226" max="1048575" man="1"/>
    <brk id="256" max="16" man="1"/>
    <brk id="287" max="16" man="1"/>
    <brk id="317" max="1048575" man="1"/>
    <brk id="348" max="1048575" man="1"/>
    <brk id="378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예산총칙</vt:lpstr>
      <vt:lpstr>세입내역</vt:lpstr>
      <vt:lpstr>세출내역</vt:lpstr>
      <vt:lpstr>세입내역!Print_Area</vt:lpstr>
      <vt:lpstr>세출내역!Print_Area</vt:lpstr>
      <vt:lpstr>예산총칙!Print_Area</vt:lpstr>
      <vt:lpstr>세입내역!Print_Titles</vt:lpstr>
      <vt:lpstr>세출내역!Print_Titles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10</cp:revision>
  <cp:lastPrinted>2020-10-13T02:17:19Z</cp:lastPrinted>
  <dcterms:created xsi:type="dcterms:W3CDTF">2009-12-07T05:26:05Z</dcterms:created>
  <dcterms:modified xsi:type="dcterms:W3CDTF">2020-10-30T04:29:10Z</dcterms:modified>
  <cp:version>1100.0100.01</cp:version>
</cp:coreProperties>
</file>